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9320" windowHeight="8190" tabRatio="944" activeTab="18"/>
  </bookViews>
  <sheets>
    <sheet name="1" sheetId="15" r:id="rId1"/>
    <sheet name="2" sheetId="14" r:id="rId2"/>
    <sheet name="3" sheetId="13" r:id="rId3"/>
    <sheet name="4" sheetId="12" r:id="rId4"/>
    <sheet name="5" sheetId="11" r:id="rId5"/>
    <sheet name="6" sheetId="10" r:id="rId6"/>
    <sheet name="12" sheetId="9" r:id="rId7"/>
    <sheet name="13" sheetId="8" r:id="rId8"/>
    <sheet name="14" sheetId="7" r:id="rId9"/>
    <sheet name="16" sheetId="6" r:id="rId10"/>
    <sheet name="17" sheetId="5" r:id="rId11"/>
    <sheet name="18" sheetId="4" r:id="rId12"/>
    <sheet name="19" sheetId="19" r:id="rId13"/>
    <sheet name="20" sheetId="18" r:id="rId14"/>
    <sheet name="21" sheetId="17" r:id="rId15"/>
    <sheet name="22" sheetId="16" r:id="rId16"/>
    <sheet name="23" sheetId="22" r:id="rId17"/>
    <sheet name="24" sheetId="21" r:id="rId18"/>
    <sheet name="25" sheetId="20" r:id="rId19"/>
    <sheet name="26" sheetId="23" r:id="rId20"/>
    <sheet name="27" sheetId="1" r:id="rId21"/>
    <sheet name="Все дома" sheetId="25" r:id="rId22"/>
    <sheet name="Лист1" sheetId="24" r:id="rId23"/>
    <sheet name="Лист3" sheetId="27" r:id="rId24"/>
  </sheets>
  <calcPr calcId="145621"/>
</workbook>
</file>

<file path=xl/calcChain.xml><?xml version="1.0" encoding="utf-8"?>
<calcChain xmlns="http://schemas.openxmlformats.org/spreadsheetml/2006/main">
  <c r="T16" i="20" l="1"/>
  <c r="L16" i="20"/>
  <c r="L15" i="17" l="1"/>
  <c r="P17" i="1" l="1"/>
  <c r="P17" i="23"/>
  <c r="P17" i="20"/>
  <c r="P17" i="21"/>
  <c r="P17" i="22"/>
  <c r="P17" i="16"/>
  <c r="P17" i="17"/>
  <c r="P17" i="18"/>
  <c r="P17" i="19"/>
  <c r="P17" i="4"/>
  <c r="P17" i="5"/>
  <c r="P17" i="6"/>
  <c r="P17" i="7"/>
  <c r="P17" i="8"/>
  <c r="P17" i="9"/>
  <c r="P17" i="10"/>
  <c r="P17" i="11"/>
  <c r="P17" i="12"/>
  <c r="P17" i="13"/>
  <c r="P17" i="14"/>
  <c r="P17" i="15"/>
  <c r="T17" i="23"/>
  <c r="T17" i="1"/>
  <c r="T17" i="20"/>
  <c r="T17" i="21"/>
  <c r="T17" i="22"/>
  <c r="T17" i="16"/>
  <c r="T17" i="17"/>
  <c r="T17" i="18"/>
  <c r="T17" i="19"/>
  <c r="T17" i="4"/>
  <c r="T17" i="5"/>
  <c r="T17" i="7"/>
  <c r="T17" i="8"/>
  <c r="T17" i="9"/>
  <c r="T17" i="10"/>
  <c r="T17" i="11"/>
  <c r="T17" i="12"/>
  <c r="T17" i="13"/>
  <c r="T17" i="14"/>
  <c r="T17" i="15"/>
  <c r="T16" i="15"/>
  <c r="P16" i="10"/>
  <c r="F16" i="10"/>
  <c r="L16" i="10"/>
  <c r="N16" i="10"/>
  <c r="R16" i="10"/>
  <c r="T16" i="10"/>
  <c r="H16" i="10"/>
  <c r="P16" i="11"/>
  <c r="F16" i="11"/>
  <c r="L16" i="11"/>
  <c r="N16" i="11"/>
  <c r="R16" i="11"/>
  <c r="J16" i="11"/>
  <c r="T16" i="11"/>
  <c r="H16" i="11"/>
  <c r="P16" i="12"/>
  <c r="F16" i="12"/>
  <c r="L16" i="12"/>
  <c r="N16" i="12"/>
  <c r="R16" i="12"/>
  <c r="J16" i="12"/>
  <c r="T16" i="12"/>
  <c r="H16" i="12"/>
  <c r="P16" i="13"/>
  <c r="J16" i="13"/>
  <c r="L16" i="13"/>
  <c r="N16" i="13"/>
  <c r="R16" i="13"/>
  <c r="T16" i="13"/>
  <c r="H16" i="13"/>
  <c r="P16" i="1"/>
  <c r="F16" i="1"/>
  <c r="L16" i="1"/>
  <c r="N16" i="1"/>
  <c r="R16" i="1"/>
  <c r="J16" i="1"/>
  <c r="T16" i="1"/>
  <c r="H16" i="1"/>
  <c r="P16" i="23"/>
  <c r="F16" i="23"/>
  <c r="L16" i="23"/>
  <c r="N16" i="23"/>
  <c r="R16" i="23"/>
  <c r="J16" i="23"/>
  <c r="T16" i="23"/>
  <c r="H16" i="23"/>
  <c r="P16" i="20"/>
  <c r="F16" i="20"/>
  <c r="N16" i="20"/>
  <c r="J16" i="20"/>
  <c r="H16" i="20"/>
  <c r="P16" i="21"/>
  <c r="F16" i="21"/>
  <c r="L16" i="21"/>
  <c r="N16" i="21"/>
  <c r="R16" i="21"/>
  <c r="J16" i="21"/>
  <c r="T16" i="21"/>
  <c r="P16" i="22"/>
  <c r="F16" i="22"/>
  <c r="L16" i="22"/>
  <c r="N16" i="22"/>
  <c r="R16" i="22"/>
  <c r="J16" i="22"/>
  <c r="T16" i="22"/>
  <c r="H16" i="22"/>
  <c r="L16" i="16"/>
  <c r="P16" i="16"/>
  <c r="N16" i="16"/>
  <c r="R16" i="16"/>
  <c r="J16" i="16"/>
  <c r="T16" i="16"/>
  <c r="H16" i="16"/>
  <c r="P16" i="17"/>
  <c r="F16" i="17"/>
  <c r="L16" i="17"/>
  <c r="N15" i="17"/>
  <c r="R16" i="17"/>
  <c r="J16" i="17"/>
  <c r="T16" i="17"/>
  <c r="H16" i="17"/>
  <c r="P16" i="18"/>
  <c r="F16" i="18"/>
  <c r="L16" i="18"/>
  <c r="N16" i="18"/>
  <c r="R16" i="18"/>
  <c r="J16" i="18"/>
  <c r="T16" i="18"/>
  <c r="H16" i="18"/>
  <c r="P16" i="14"/>
  <c r="F16" i="14"/>
  <c r="L16" i="14"/>
  <c r="N16" i="14"/>
  <c r="R16" i="14"/>
  <c r="J16" i="14"/>
  <c r="T16" i="14"/>
  <c r="H16" i="14"/>
  <c r="P16" i="19"/>
  <c r="F16" i="19"/>
  <c r="L16" i="19"/>
  <c r="N16" i="19"/>
  <c r="R16" i="19"/>
  <c r="J16" i="19"/>
  <c r="T16" i="19"/>
  <c r="H16" i="19"/>
  <c r="P16" i="4"/>
  <c r="F16" i="4"/>
  <c r="L16" i="4"/>
  <c r="N16" i="4"/>
  <c r="R16" i="4"/>
  <c r="J16" i="4"/>
  <c r="T16" i="4"/>
  <c r="H16" i="4"/>
  <c r="P16" i="5"/>
  <c r="F16" i="5"/>
  <c r="L16" i="5"/>
  <c r="N16" i="5"/>
  <c r="R16" i="5"/>
  <c r="J16" i="5"/>
  <c r="T16" i="5"/>
  <c r="H16" i="5"/>
  <c r="P16" i="6"/>
  <c r="F16" i="6"/>
  <c r="L16" i="6"/>
  <c r="N16" i="6"/>
  <c r="R16" i="6"/>
  <c r="J16" i="6"/>
  <c r="T16" i="6"/>
  <c r="H16" i="6"/>
  <c r="P16" i="7"/>
  <c r="F16" i="7"/>
  <c r="L16" i="7"/>
  <c r="N16" i="7"/>
  <c r="R16" i="7"/>
  <c r="J16" i="7"/>
  <c r="T16" i="7"/>
  <c r="H16" i="7"/>
  <c r="P16" i="8"/>
  <c r="F16" i="8"/>
  <c r="L16" i="8"/>
  <c r="N16" i="8"/>
  <c r="R16" i="8"/>
  <c r="J16" i="8"/>
  <c r="T16" i="8"/>
  <c r="H16" i="8"/>
  <c r="L16" i="9"/>
  <c r="H16" i="9"/>
  <c r="P16" i="9"/>
  <c r="F16" i="9"/>
  <c r="N16" i="9"/>
  <c r="R16" i="9"/>
  <c r="L16" i="15"/>
  <c r="H16" i="15"/>
  <c r="J16" i="9"/>
  <c r="T16" i="9"/>
  <c r="P16" i="15"/>
  <c r="F16" i="15"/>
  <c r="N16" i="15"/>
  <c r="R16" i="15"/>
  <c r="R16" i="20"/>
  <c r="F16" i="16"/>
  <c r="N16" i="17"/>
  <c r="F16" i="13"/>
  <c r="J16" i="15"/>
  <c r="P15" i="1"/>
  <c r="F15" i="1"/>
  <c r="L15" i="1"/>
  <c r="N15" i="1"/>
  <c r="T15" i="1"/>
  <c r="R15" i="1"/>
  <c r="J15" i="1"/>
  <c r="P15" i="23"/>
  <c r="F15" i="23"/>
  <c r="L15" i="23"/>
  <c r="N15" i="23"/>
  <c r="T15" i="23"/>
  <c r="R15" i="23"/>
  <c r="J15" i="23"/>
  <c r="P15" i="20"/>
  <c r="F15" i="20"/>
  <c r="L15" i="20"/>
  <c r="N15" i="20"/>
  <c r="T15" i="20"/>
  <c r="R15" i="20"/>
  <c r="J15" i="20"/>
  <c r="P15" i="21"/>
  <c r="F15" i="21"/>
  <c r="L15" i="21"/>
  <c r="N15" i="21"/>
  <c r="T15" i="21"/>
  <c r="R15" i="21"/>
  <c r="J15" i="21"/>
  <c r="P15" i="22"/>
  <c r="F15" i="22"/>
  <c r="L15" i="22"/>
  <c r="N15" i="22"/>
  <c r="T15" i="22"/>
  <c r="R15" i="22"/>
  <c r="J15" i="22"/>
  <c r="P15" i="16"/>
  <c r="F15" i="16"/>
  <c r="L15" i="16"/>
  <c r="N15" i="16"/>
  <c r="T15" i="16"/>
  <c r="R15" i="16"/>
  <c r="J15" i="16"/>
  <c r="P15" i="17"/>
  <c r="F15" i="17"/>
  <c r="T15" i="17"/>
  <c r="R15" i="17"/>
  <c r="J15" i="17"/>
  <c r="P15" i="18"/>
  <c r="F15" i="18"/>
  <c r="L15" i="18"/>
  <c r="N15" i="18"/>
  <c r="T15" i="18"/>
  <c r="R15" i="18"/>
  <c r="J15" i="18"/>
  <c r="P15" i="19"/>
  <c r="F15" i="19"/>
  <c r="L15" i="19"/>
  <c r="N15" i="19"/>
  <c r="T15" i="19"/>
  <c r="R15" i="19"/>
  <c r="J15" i="19"/>
  <c r="P15" i="4" l="1"/>
  <c r="F15" i="4"/>
  <c r="L15" i="4"/>
  <c r="N15" i="4"/>
  <c r="T15" i="4"/>
  <c r="R15" i="4"/>
  <c r="J15" i="4"/>
  <c r="P15" i="5"/>
  <c r="F15" i="5"/>
  <c r="L15" i="5"/>
  <c r="N15" i="5"/>
  <c r="T15" i="5"/>
  <c r="R15" i="5"/>
  <c r="J15" i="5"/>
  <c r="P15" i="6"/>
  <c r="F15" i="6"/>
  <c r="L15" i="6"/>
  <c r="N15" i="6"/>
  <c r="T15" i="6"/>
  <c r="R15" i="6"/>
  <c r="J15" i="6"/>
  <c r="T15" i="7"/>
  <c r="R15" i="7"/>
  <c r="P15" i="7"/>
  <c r="F15" i="7"/>
  <c r="L15" i="7"/>
  <c r="N15" i="7"/>
  <c r="J15" i="7"/>
  <c r="P15" i="8"/>
  <c r="F15" i="8"/>
  <c r="L15" i="8"/>
  <c r="N15" i="8"/>
  <c r="T15" i="8"/>
  <c r="R15" i="8"/>
  <c r="J15" i="8"/>
  <c r="P15" i="9"/>
  <c r="F15" i="9"/>
  <c r="L15" i="9"/>
  <c r="N15" i="9"/>
  <c r="T15" i="9"/>
  <c r="R15" i="9"/>
  <c r="J15" i="9"/>
  <c r="P15" i="10"/>
  <c r="F15" i="10"/>
  <c r="L15" i="10"/>
  <c r="N15" i="10"/>
  <c r="T15" i="10"/>
  <c r="R15" i="10"/>
  <c r="J15" i="10"/>
  <c r="P15" i="11"/>
  <c r="F15" i="11"/>
  <c r="L15" i="11"/>
  <c r="N15" i="11"/>
  <c r="T15" i="11"/>
  <c r="R15" i="11"/>
  <c r="J15" i="11"/>
  <c r="P15" i="12"/>
  <c r="F15" i="12"/>
  <c r="L15" i="12"/>
  <c r="N15" i="12"/>
  <c r="T15" i="12"/>
  <c r="R15" i="12"/>
  <c r="J15" i="12"/>
  <c r="P15" i="13"/>
  <c r="F15" i="13"/>
  <c r="L15" i="13"/>
  <c r="N15" i="13"/>
  <c r="T15" i="13"/>
  <c r="R15" i="13"/>
  <c r="J15" i="13"/>
  <c r="P15" i="14"/>
  <c r="F15" i="14"/>
  <c r="L15" i="14"/>
  <c r="N15" i="14"/>
  <c r="T15" i="14"/>
  <c r="R15" i="14"/>
  <c r="J15" i="14"/>
  <c r="T15" i="15" l="1"/>
  <c r="R15" i="15"/>
  <c r="P15" i="15"/>
  <c r="N15" i="15"/>
  <c r="L15" i="15"/>
  <c r="J15" i="15"/>
  <c r="F15" i="15"/>
  <c r="R14" i="15"/>
  <c r="T14" i="15"/>
  <c r="L17" i="1"/>
  <c r="L17" i="23"/>
  <c r="L17" i="20"/>
  <c r="L17" i="21"/>
  <c r="L17" i="22"/>
  <c r="L17" i="16"/>
  <c r="L17" i="17"/>
  <c r="L17" i="18"/>
  <c r="L17" i="19"/>
  <c r="L17" i="4"/>
  <c r="L17" i="5"/>
  <c r="T17" i="6"/>
  <c r="L17" i="6"/>
  <c r="L17" i="7"/>
  <c r="L17" i="8"/>
  <c r="L17" i="9"/>
  <c r="C15" i="10"/>
  <c r="L17" i="10"/>
  <c r="L17" i="11"/>
  <c r="L17" i="12"/>
  <c r="L17" i="13"/>
  <c r="P46" i="8"/>
  <c r="P47" i="8"/>
  <c r="V14" i="10" l="1"/>
  <c r="V13" i="10" s="1"/>
  <c r="C14" i="25"/>
  <c r="C14" i="1"/>
  <c r="C14" i="23"/>
  <c r="C14" i="20"/>
  <c r="C14" i="21"/>
  <c r="C14" i="22"/>
  <c r="C14" i="16"/>
  <c r="C14" i="17"/>
  <c r="C14" i="18"/>
  <c r="C14" i="19"/>
  <c r="C14" i="4"/>
  <c r="C14" i="5"/>
  <c r="C14" i="6"/>
  <c r="C14" i="7"/>
  <c r="C14" i="8"/>
  <c r="C14" i="9"/>
  <c r="C14" i="10"/>
  <c r="C14" i="11"/>
  <c r="C14" i="12"/>
  <c r="C14" i="13"/>
  <c r="C14" i="14"/>
  <c r="L17" i="14" l="1"/>
  <c r="L17" i="15"/>
  <c r="D9" i="25" l="1"/>
  <c r="D17" i="27" l="1"/>
  <c r="D21" i="27" s="1"/>
  <c r="G20" i="27"/>
  <c r="G16" i="27"/>
  <c r="G15" i="27"/>
  <c r="G14" i="27"/>
  <c r="F17" i="27"/>
  <c r="D18" i="27"/>
  <c r="F18" i="27"/>
  <c r="D12" i="27"/>
  <c r="G18" i="27" l="1"/>
  <c r="G17" i="27"/>
  <c r="G21" i="27" s="1"/>
  <c r="N40" i="25"/>
  <c r="N49" i="6"/>
  <c r="P46" i="6"/>
  <c r="R17" i="1" l="1"/>
  <c r="R17" i="23"/>
  <c r="R17" i="20"/>
  <c r="R17" i="21"/>
  <c r="R17" i="22"/>
  <c r="R17" i="16"/>
  <c r="R17" i="17"/>
  <c r="R17" i="18"/>
  <c r="R17" i="19"/>
  <c r="R17" i="4"/>
  <c r="R17" i="5"/>
  <c r="R17" i="6"/>
  <c r="R17" i="7"/>
  <c r="R17" i="8"/>
  <c r="R17" i="9"/>
  <c r="R17" i="10"/>
  <c r="R17" i="11"/>
  <c r="R17" i="12"/>
  <c r="R17" i="13"/>
  <c r="R17" i="14"/>
  <c r="R17" i="15"/>
  <c r="T18" i="1"/>
  <c r="P18" i="21"/>
  <c r="P18" i="5"/>
  <c r="N18" i="5"/>
  <c r="R14" i="25"/>
  <c r="C18" i="25"/>
  <c r="C18" i="1"/>
  <c r="C18" i="23"/>
  <c r="C18" i="20"/>
  <c r="C18" i="21"/>
  <c r="C18" i="22"/>
  <c r="C18" i="16"/>
  <c r="C18" i="17"/>
  <c r="C18" i="18"/>
  <c r="C18" i="19"/>
  <c r="C18" i="4"/>
  <c r="C18" i="5"/>
  <c r="C18" i="6"/>
  <c r="C18" i="7"/>
  <c r="C18" i="8"/>
  <c r="C18" i="9"/>
  <c r="C18" i="10"/>
  <c r="C18" i="11"/>
  <c r="C18" i="12"/>
  <c r="C18" i="13"/>
  <c r="C18" i="14"/>
  <c r="T17" i="25" l="1"/>
  <c r="J18" i="15"/>
  <c r="J17" i="15"/>
  <c r="T14" i="25"/>
  <c r="P14" i="25"/>
  <c r="N14" i="25"/>
  <c r="L14" i="25"/>
  <c r="J14" i="25"/>
  <c r="H14" i="25"/>
  <c r="F14" i="25"/>
  <c r="R18" i="1"/>
  <c r="P18" i="1"/>
  <c r="N18" i="1"/>
  <c r="L18" i="1"/>
  <c r="J18" i="1"/>
  <c r="H18" i="1"/>
  <c r="F18" i="1"/>
  <c r="V14" i="1"/>
  <c r="V13" i="1" s="1"/>
  <c r="T18" i="23"/>
  <c r="R18" i="23"/>
  <c r="P18" i="23"/>
  <c r="N18" i="23"/>
  <c r="L18" i="23"/>
  <c r="J18" i="23"/>
  <c r="H18" i="23"/>
  <c r="F18" i="23"/>
  <c r="V14" i="23"/>
  <c r="V13" i="23" s="1"/>
  <c r="T18" i="20"/>
  <c r="R18" i="20"/>
  <c r="P18" i="20"/>
  <c r="N18" i="20"/>
  <c r="L18" i="20"/>
  <c r="J18" i="20"/>
  <c r="H18" i="20"/>
  <c r="F18" i="20"/>
  <c r="V14" i="20"/>
  <c r="V13" i="20" s="1"/>
  <c r="T18" i="21"/>
  <c r="R18" i="21"/>
  <c r="N18" i="21"/>
  <c r="L18" i="21"/>
  <c r="J18" i="21"/>
  <c r="H18" i="21"/>
  <c r="F18" i="21"/>
  <c r="V14" i="21"/>
  <c r="V13" i="21" s="1"/>
  <c r="T18" i="22"/>
  <c r="R18" i="22"/>
  <c r="P18" i="22"/>
  <c r="N18" i="22"/>
  <c r="L18" i="22"/>
  <c r="J18" i="22"/>
  <c r="H18" i="22"/>
  <c r="F18" i="22"/>
  <c r="V14" i="22"/>
  <c r="V13" i="22" s="1"/>
  <c r="T18" i="16"/>
  <c r="R18" i="16"/>
  <c r="P18" i="16"/>
  <c r="N18" i="16"/>
  <c r="L18" i="16"/>
  <c r="J18" i="16"/>
  <c r="H18" i="16"/>
  <c r="F18" i="16"/>
  <c r="V14" i="16"/>
  <c r="V13" i="16" s="1"/>
  <c r="T18" i="17"/>
  <c r="R18" i="17"/>
  <c r="P18" i="17"/>
  <c r="N18" i="17"/>
  <c r="L18" i="17"/>
  <c r="J18" i="17"/>
  <c r="H18" i="17"/>
  <c r="F18" i="17"/>
  <c r="V14" i="17"/>
  <c r="V13" i="17" s="1"/>
  <c r="T18" i="18"/>
  <c r="R18" i="18"/>
  <c r="P18" i="18"/>
  <c r="N18" i="18"/>
  <c r="L18" i="18"/>
  <c r="J18" i="18"/>
  <c r="H18" i="18"/>
  <c r="F18" i="18"/>
  <c r="V14" i="18"/>
  <c r="V13" i="18" s="1"/>
  <c r="T18" i="19"/>
  <c r="R18" i="19"/>
  <c r="P18" i="19"/>
  <c r="N18" i="19"/>
  <c r="L18" i="19"/>
  <c r="J18" i="19"/>
  <c r="H18" i="19"/>
  <c r="F18" i="19"/>
  <c r="V14" i="19"/>
  <c r="V13" i="19" s="1"/>
  <c r="T18" i="4"/>
  <c r="R18" i="4"/>
  <c r="P18" i="4"/>
  <c r="N18" i="4"/>
  <c r="L18" i="4"/>
  <c r="J18" i="4"/>
  <c r="H18" i="4"/>
  <c r="F18" i="4"/>
  <c r="V14" i="4"/>
  <c r="V13" i="4" s="1"/>
  <c r="T18" i="5"/>
  <c r="R18" i="5"/>
  <c r="L18" i="5"/>
  <c r="J18" i="5"/>
  <c r="H18" i="5"/>
  <c r="F18" i="5"/>
  <c r="V14" i="5"/>
  <c r="V13" i="5" s="1"/>
  <c r="T18" i="6"/>
  <c r="R18" i="6"/>
  <c r="P18" i="6"/>
  <c r="N18" i="6"/>
  <c r="L18" i="6"/>
  <c r="J18" i="6"/>
  <c r="H18" i="6"/>
  <c r="F18" i="6"/>
  <c r="V14" i="6"/>
  <c r="V13" i="6" s="1"/>
  <c r="T18" i="7"/>
  <c r="R18" i="7"/>
  <c r="P18" i="7"/>
  <c r="N18" i="7"/>
  <c r="L18" i="7"/>
  <c r="J18" i="7"/>
  <c r="H18" i="7"/>
  <c r="F18" i="7"/>
  <c r="V14" i="7"/>
  <c r="V13" i="7" s="1"/>
  <c r="T18" i="8"/>
  <c r="R18" i="8"/>
  <c r="P18" i="8"/>
  <c r="N18" i="8"/>
  <c r="L18" i="8"/>
  <c r="J18" i="8"/>
  <c r="H18" i="8"/>
  <c r="F18" i="8"/>
  <c r="V14" i="8"/>
  <c r="V13" i="8" s="1"/>
  <c r="T18" i="9"/>
  <c r="R18" i="9"/>
  <c r="P18" i="9"/>
  <c r="N18" i="9"/>
  <c r="L18" i="9"/>
  <c r="J18" i="9"/>
  <c r="H18" i="9"/>
  <c r="F18" i="9"/>
  <c r="V14" i="9"/>
  <c r="V13" i="9" s="1"/>
  <c r="T18" i="10"/>
  <c r="R18" i="10"/>
  <c r="P18" i="10"/>
  <c r="N18" i="10"/>
  <c r="L18" i="10"/>
  <c r="J18" i="10"/>
  <c r="H18" i="10"/>
  <c r="F18" i="10"/>
  <c r="F18" i="11"/>
  <c r="T18" i="11"/>
  <c r="R18" i="11"/>
  <c r="P18" i="11"/>
  <c r="N18" i="11"/>
  <c r="L18" i="11"/>
  <c r="J18" i="11"/>
  <c r="H18" i="11"/>
  <c r="V14" i="11"/>
  <c r="V13" i="11" s="1"/>
  <c r="V14" i="12"/>
  <c r="V13" i="12" s="1"/>
  <c r="T18" i="12"/>
  <c r="R18" i="12"/>
  <c r="P18" i="12"/>
  <c r="N18" i="12"/>
  <c r="L18" i="12"/>
  <c r="J18" i="12"/>
  <c r="H18" i="12"/>
  <c r="F18" i="12"/>
  <c r="F18" i="13"/>
  <c r="T18" i="13"/>
  <c r="R18" i="13"/>
  <c r="P18" i="13"/>
  <c r="N18" i="13"/>
  <c r="L18" i="13"/>
  <c r="J18" i="13"/>
  <c r="H18" i="13"/>
  <c r="V14" i="13"/>
  <c r="V13" i="13" s="1"/>
  <c r="V14" i="14"/>
  <c r="V13" i="14" s="1"/>
  <c r="T18" i="14"/>
  <c r="R18" i="14"/>
  <c r="P18" i="14"/>
  <c r="N18" i="14"/>
  <c r="L18" i="14"/>
  <c r="J18" i="14"/>
  <c r="H18" i="14"/>
  <c r="F18" i="14"/>
  <c r="V14" i="15"/>
  <c r="V13" i="15" s="1"/>
  <c r="T18" i="15"/>
  <c r="R18" i="15"/>
  <c r="P18" i="15"/>
  <c r="N18" i="15"/>
  <c r="L18" i="15"/>
  <c r="H18" i="15"/>
  <c r="F18" i="15"/>
  <c r="V19" i="9" l="1"/>
  <c r="V19" i="5"/>
  <c r="V19" i="8"/>
  <c r="V19" i="10"/>
  <c r="V14" i="25"/>
  <c r="V13" i="25" s="1"/>
  <c r="V19" i="1"/>
  <c r="V19" i="23"/>
  <c r="V19" i="20"/>
  <c r="V19" i="21"/>
  <c r="V19" i="22"/>
  <c r="V19" i="16"/>
  <c r="V19" i="17"/>
  <c r="V19" i="18"/>
  <c r="V19" i="19"/>
  <c r="V19" i="4"/>
  <c r="V19" i="6"/>
  <c r="V19" i="7"/>
  <c r="V19" i="11"/>
  <c r="V19" i="12"/>
  <c r="V19" i="13"/>
  <c r="V19" i="14"/>
  <c r="V19" i="15"/>
  <c r="J17" i="1" l="1"/>
  <c r="J17" i="23"/>
  <c r="J17" i="20"/>
  <c r="J17" i="21"/>
  <c r="J17" i="22"/>
  <c r="J17" i="16"/>
  <c r="J17" i="17"/>
  <c r="J17" i="18"/>
  <c r="J17" i="19"/>
  <c r="J17" i="4"/>
  <c r="J17" i="5"/>
  <c r="J17" i="6"/>
  <c r="J17" i="7"/>
  <c r="J17" i="8"/>
  <c r="J17" i="9"/>
  <c r="J17" i="10"/>
  <c r="J17" i="11"/>
  <c r="J17" i="12"/>
  <c r="J17" i="13"/>
  <c r="J17" i="14"/>
  <c r="V15" i="18"/>
  <c r="J24" i="18" s="1"/>
  <c r="V16" i="8"/>
  <c r="V15" i="8" l="1"/>
  <c r="V18" i="8" s="1"/>
  <c r="B3" i="25"/>
  <c r="B3" i="1"/>
  <c r="B3" i="23"/>
  <c r="B3" i="20"/>
  <c r="B3" i="21"/>
  <c r="B3" i="22"/>
  <c r="B3" i="16"/>
  <c r="B3" i="17"/>
  <c r="B3" i="18"/>
  <c r="B3" i="19"/>
  <c r="B3" i="4"/>
  <c r="B3" i="5"/>
  <c r="B3" i="6"/>
  <c r="B3" i="7"/>
  <c r="B3" i="8"/>
  <c r="B3" i="9"/>
  <c r="B3" i="10"/>
  <c r="B3" i="11"/>
  <c r="B3" i="12"/>
  <c r="B3" i="13"/>
  <c r="B3" i="14"/>
  <c r="N41" i="14"/>
  <c r="N30" i="14"/>
  <c r="P30" i="14" s="1"/>
  <c r="P45" i="25"/>
  <c r="P17" i="25"/>
  <c r="N17" i="25"/>
  <c r="J17" i="25"/>
  <c r="T16" i="25"/>
  <c r="T15" i="25"/>
  <c r="R16" i="25"/>
  <c r="R15" i="25"/>
  <c r="P16" i="25"/>
  <c r="P15" i="25"/>
  <c r="N16" i="25"/>
  <c r="N15" i="25"/>
  <c r="L16" i="25"/>
  <c r="L15" i="25"/>
  <c r="J16" i="25"/>
  <c r="J15" i="25"/>
  <c r="H16" i="25"/>
  <c r="H15" i="25"/>
  <c r="F16" i="25"/>
  <c r="F15" i="25"/>
  <c r="D10" i="25"/>
  <c r="D8" i="25"/>
  <c r="L30" i="25" s="1"/>
  <c r="L31" i="25" s="1"/>
  <c r="N42" i="25"/>
  <c r="N41" i="25"/>
  <c r="N39" i="25"/>
  <c r="N38" i="25"/>
  <c r="N37" i="25"/>
  <c r="N36" i="25"/>
  <c r="N35" i="25"/>
  <c r="N34" i="25"/>
  <c r="N33" i="25"/>
  <c r="N32" i="25"/>
  <c r="N31" i="25"/>
  <c r="N30" i="25"/>
  <c r="P30" i="25" s="1"/>
  <c r="T20" i="25"/>
  <c r="R20" i="25"/>
  <c r="P20" i="25"/>
  <c r="N20" i="25"/>
  <c r="J20" i="25"/>
  <c r="H20" i="25"/>
  <c r="F20" i="25"/>
  <c r="T12" i="25"/>
  <c r="R12" i="25"/>
  <c r="P12" i="25"/>
  <c r="N12" i="25"/>
  <c r="J12" i="25"/>
  <c r="D12" i="25"/>
  <c r="H17" i="1"/>
  <c r="H17" i="23"/>
  <c r="H17" i="20"/>
  <c r="H17" i="21"/>
  <c r="H17" i="16"/>
  <c r="H17" i="17"/>
  <c r="H17" i="18"/>
  <c r="H17" i="19"/>
  <c r="H17" i="4"/>
  <c r="H17" i="5"/>
  <c r="H17" i="6"/>
  <c r="H17" i="7"/>
  <c r="H17" i="8"/>
  <c r="H17" i="9"/>
  <c r="H17" i="10"/>
  <c r="H17" i="11"/>
  <c r="H17" i="12"/>
  <c r="H17" i="13"/>
  <c r="H17" i="14"/>
  <c r="P47" i="1"/>
  <c r="P46" i="1"/>
  <c r="P49" i="1" s="1"/>
  <c r="N49" i="23"/>
  <c r="P46" i="23"/>
  <c r="P45" i="23"/>
  <c r="N49" i="20"/>
  <c r="P46" i="20"/>
  <c r="P45" i="20"/>
  <c r="N49" i="21"/>
  <c r="P46" i="21"/>
  <c r="P49" i="21" s="1"/>
  <c r="P45" i="21"/>
  <c r="N49" i="22"/>
  <c r="P46" i="22"/>
  <c r="P45" i="22"/>
  <c r="N49" i="16"/>
  <c r="P46" i="16"/>
  <c r="P45" i="16"/>
  <c r="P46" i="17"/>
  <c r="P45" i="17"/>
  <c r="P49" i="17"/>
  <c r="N49" i="17"/>
  <c r="N49" i="18"/>
  <c r="P46" i="18"/>
  <c r="P45" i="18"/>
  <c r="N49" i="19"/>
  <c r="P46" i="19"/>
  <c r="P45" i="19"/>
  <c r="N49" i="4"/>
  <c r="P46" i="4"/>
  <c r="P45" i="4"/>
  <c r="N49" i="5"/>
  <c r="P46" i="5"/>
  <c r="P45" i="5"/>
  <c r="P45" i="6"/>
  <c r="P47" i="7"/>
  <c r="P46" i="7"/>
  <c r="P49" i="7" s="1"/>
  <c r="P49" i="8"/>
  <c r="N49" i="9"/>
  <c r="P46" i="9"/>
  <c r="P48" i="9"/>
  <c r="P45" i="9"/>
  <c r="N49" i="10"/>
  <c r="P46" i="10"/>
  <c r="P47" i="10"/>
  <c r="P48" i="10"/>
  <c r="P45" i="10"/>
  <c r="N49" i="11"/>
  <c r="P46" i="11"/>
  <c r="P47" i="11"/>
  <c r="P48" i="11"/>
  <c r="P45" i="11"/>
  <c r="P46" i="12"/>
  <c r="P47" i="12"/>
  <c r="P45" i="12"/>
  <c r="P49" i="12" s="1"/>
  <c r="N49" i="12"/>
  <c r="P46" i="13"/>
  <c r="P45" i="13"/>
  <c r="P49" i="13" s="1"/>
  <c r="N49" i="13"/>
  <c r="P46" i="14"/>
  <c r="P45" i="14"/>
  <c r="P49" i="14" s="1"/>
  <c r="N49" i="14"/>
  <c r="P47" i="15"/>
  <c r="P46" i="15"/>
  <c r="P49" i="15" s="1"/>
  <c r="N45" i="1"/>
  <c r="N49" i="1" s="1"/>
  <c r="N45" i="7"/>
  <c r="N49" i="7" s="1"/>
  <c r="N45" i="8"/>
  <c r="N49" i="8" s="1"/>
  <c r="N45" i="15"/>
  <c r="N49" i="15" s="1"/>
  <c r="N42" i="6"/>
  <c r="N41" i="6"/>
  <c r="N40" i="6"/>
  <c r="N39" i="6"/>
  <c r="P39" i="6" s="1"/>
  <c r="N38" i="6"/>
  <c r="N37" i="6"/>
  <c r="N36" i="6"/>
  <c r="N35" i="6"/>
  <c r="N34" i="6"/>
  <c r="N33" i="6"/>
  <c r="N32" i="6"/>
  <c r="N31" i="6"/>
  <c r="N30" i="6"/>
  <c r="N42" i="1"/>
  <c r="N41" i="1"/>
  <c r="N40" i="1"/>
  <c r="N39" i="1"/>
  <c r="N38" i="1"/>
  <c r="P38" i="1" s="1"/>
  <c r="N37" i="1"/>
  <c r="N36" i="1"/>
  <c r="P36" i="1" s="1"/>
  <c r="N35" i="1"/>
  <c r="N34" i="1"/>
  <c r="P34" i="1" s="1"/>
  <c r="N33" i="1"/>
  <c r="N32" i="1"/>
  <c r="P32" i="1" s="1"/>
  <c r="N31" i="1"/>
  <c r="N30" i="1"/>
  <c r="N42" i="23"/>
  <c r="P42" i="23" s="1"/>
  <c r="N41" i="23"/>
  <c r="N40" i="23"/>
  <c r="N39" i="23"/>
  <c r="N38" i="23"/>
  <c r="N37" i="23"/>
  <c r="N36" i="23"/>
  <c r="N35" i="23"/>
  <c r="P35" i="23" s="1"/>
  <c r="N34" i="23"/>
  <c r="N33" i="23"/>
  <c r="N32" i="23"/>
  <c r="N31" i="23"/>
  <c r="P31" i="23" s="1"/>
  <c r="N30" i="23"/>
  <c r="N42" i="20"/>
  <c r="N41" i="20"/>
  <c r="N40" i="20"/>
  <c r="N39" i="20"/>
  <c r="N38" i="20"/>
  <c r="N37" i="20"/>
  <c r="P37" i="20" s="1"/>
  <c r="N36" i="20"/>
  <c r="N35" i="20"/>
  <c r="P35" i="20" s="1"/>
  <c r="N34" i="20"/>
  <c r="N33" i="20"/>
  <c r="P33" i="20" s="1"/>
  <c r="N32" i="20"/>
  <c r="N31" i="20"/>
  <c r="P31" i="20" s="1"/>
  <c r="N30" i="20"/>
  <c r="N42" i="21"/>
  <c r="P42" i="21" s="1"/>
  <c r="N41" i="21"/>
  <c r="N40" i="21"/>
  <c r="N39" i="21"/>
  <c r="N38" i="21"/>
  <c r="N37" i="21"/>
  <c r="N36" i="21"/>
  <c r="N35" i="21"/>
  <c r="P35" i="21" s="1"/>
  <c r="N34" i="21"/>
  <c r="N33" i="21"/>
  <c r="N32" i="21"/>
  <c r="N31" i="21"/>
  <c r="N30" i="21"/>
  <c r="N42" i="22"/>
  <c r="N41" i="22"/>
  <c r="N40" i="22"/>
  <c r="N39" i="22"/>
  <c r="N38" i="22"/>
  <c r="N37" i="22"/>
  <c r="N36" i="22"/>
  <c r="P36" i="22" s="1"/>
  <c r="N35" i="22"/>
  <c r="N34" i="22"/>
  <c r="N33" i="22"/>
  <c r="N32" i="22"/>
  <c r="N31" i="22"/>
  <c r="N30" i="22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42" i="19"/>
  <c r="N41" i="19"/>
  <c r="N40" i="19"/>
  <c r="N39" i="19"/>
  <c r="N38" i="19"/>
  <c r="N37" i="19"/>
  <c r="N36" i="19"/>
  <c r="P36" i="19" s="1"/>
  <c r="N35" i="19"/>
  <c r="N34" i="19"/>
  <c r="N33" i="19"/>
  <c r="N32" i="19"/>
  <c r="N31" i="19"/>
  <c r="N30" i="19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42" i="7"/>
  <c r="N41" i="7"/>
  <c r="N40" i="7"/>
  <c r="N39" i="7"/>
  <c r="N38" i="7"/>
  <c r="N37" i="7"/>
  <c r="P37" i="7" s="1"/>
  <c r="N36" i="7"/>
  <c r="N35" i="7"/>
  <c r="N34" i="7"/>
  <c r="N33" i="7"/>
  <c r="N32" i="7"/>
  <c r="N31" i="7"/>
  <c r="N30" i="7"/>
  <c r="N42" i="8"/>
  <c r="N41" i="8"/>
  <c r="P41" i="8" s="1"/>
  <c r="N40" i="8"/>
  <c r="N39" i="8"/>
  <c r="P39" i="8" s="1"/>
  <c r="N38" i="8"/>
  <c r="N37" i="8"/>
  <c r="P37" i="8" s="1"/>
  <c r="N36" i="8"/>
  <c r="P36" i="8" s="1"/>
  <c r="N35" i="8"/>
  <c r="P35" i="8" s="1"/>
  <c r="N34" i="8"/>
  <c r="N33" i="8"/>
  <c r="P33" i="8" s="1"/>
  <c r="N32" i="8"/>
  <c r="N31" i="8"/>
  <c r="N30" i="8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42" i="10"/>
  <c r="N41" i="10"/>
  <c r="P41" i="10" s="1"/>
  <c r="N40" i="10"/>
  <c r="N39" i="10"/>
  <c r="P39" i="10" s="1"/>
  <c r="N38" i="10"/>
  <c r="N37" i="10"/>
  <c r="P37" i="10" s="1"/>
  <c r="N36" i="10"/>
  <c r="P36" i="10" s="1"/>
  <c r="N35" i="10"/>
  <c r="P35" i="10" s="1"/>
  <c r="N34" i="10"/>
  <c r="N33" i="10"/>
  <c r="P33" i="10" s="1"/>
  <c r="N32" i="10"/>
  <c r="N31" i="10"/>
  <c r="P31" i="10" s="1"/>
  <c r="N30" i="10"/>
  <c r="N42" i="11"/>
  <c r="N41" i="11"/>
  <c r="N40" i="11"/>
  <c r="N39" i="11"/>
  <c r="N38" i="11"/>
  <c r="N37" i="11"/>
  <c r="P37" i="11" s="1"/>
  <c r="N36" i="11"/>
  <c r="N35" i="11"/>
  <c r="N34" i="11"/>
  <c r="N33" i="11"/>
  <c r="N32" i="11"/>
  <c r="N31" i="11"/>
  <c r="N30" i="11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42" i="14"/>
  <c r="N40" i="14"/>
  <c r="N39" i="14"/>
  <c r="P39" i="14" s="1"/>
  <c r="N38" i="14"/>
  <c r="N37" i="14"/>
  <c r="N36" i="14"/>
  <c r="N35" i="14"/>
  <c r="N34" i="14"/>
  <c r="N33" i="14"/>
  <c r="N32" i="14"/>
  <c r="N31" i="14"/>
  <c r="P52" i="22"/>
  <c r="P51" i="25" s="1"/>
  <c r="P31" i="1"/>
  <c r="P33" i="1"/>
  <c r="P35" i="1"/>
  <c r="P37" i="1"/>
  <c r="P39" i="1"/>
  <c r="P40" i="1"/>
  <c r="P41" i="1"/>
  <c r="P42" i="1"/>
  <c r="P30" i="1"/>
  <c r="P33" i="23"/>
  <c r="P34" i="23"/>
  <c r="P36" i="23"/>
  <c r="P37" i="23"/>
  <c r="P38" i="23"/>
  <c r="P39" i="23"/>
  <c r="P40" i="23"/>
  <c r="P41" i="23"/>
  <c r="P30" i="23"/>
  <c r="P32" i="20"/>
  <c r="P34" i="20"/>
  <c r="P36" i="20"/>
  <c r="P38" i="20"/>
  <c r="P39" i="20"/>
  <c r="P40" i="20"/>
  <c r="P41" i="20"/>
  <c r="P42" i="20"/>
  <c r="P30" i="20"/>
  <c r="P31" i="21"/>
  <c r="P32" i="21"/>
  <c r="P33" i="21"/>
  <c r="P34" i="21"/>
  <c r="P36" i="21"/>
  <c r="P37" i="21"/>
  <c r="P38" i="21"/>
  <c r="P39" i="21"/>
  <c r="P40" i="21"/>
  <c r="P41" i="21"/>
  <c r="P30" i="21"/>
  <c r="P31" i="22"/>
  <c r="P32" i="22"/>
  <c r="P33" i="22"/>
  <c r="P34" i="22"/>
  <c r="P35" i="22"/>
  <c r="P37" i="22"/>
  <c r="P38" i="22"/>
  <c r="P39" i="22"/>
  <c r="P40" i="22"/>
  <c r="P41" i="22"/>
  <c r="P42" i="22"/>
  <c r="P30" i="22"/>
  <c r="P31" i="16"/>
  <c r="P32" i="16"/>
  <c r="P33" i="16"/>
  <c r="P34" i="16"/>
  <c r="P35" i="16"/>
  <c r="P36" i="16"/>
  <c r="P37" i="16"/>
  <c r="P38" i="16"/>
  <c r="P39" i="16"/>
  <c r="P40" i="16"/>
  <c r="P41" i="16"/>
  <c r="P30" i="16"/>
  <c r="P31" i="17"/>
  <c r="P32" i="17"/>
  <c r="P33" i="17"/>
  <c r="P34" i="17"/>
  <c r="P35" i="17"/>
  <c r="P36" i="17"/>
  <c r="P37" i="17"/>
  <c r="P38" i="17"/>
  <c r="P39" i="17"/>
  <c r="P40" i="17"/>
  <c r="P41" i="17"/>
  <c r="P42" i="17"/>
  <c r="P30" i="17"/>
  <c r="P31" i="18"/>
  <c r="P32" i="18"/>
  <c r="P33" i="18"/>
  <c r="P34" i="18"/>
  <c r="P35" i="18"/>
  <c r="P36" i="18"/>
  <c r="P37" i="18"/>
  <c r="P38" i="18"/>
  <c r="P39" i="18"/>
  <c r="P40" i="18"/>
  <c r="P41" i="18"/>
  <c r="P30" i="18"/>
  <c r="P31" i="19"/>
  <c r="P32" i="19"/>
  <c r="P33" i="19"/>
  <c r="P34" i="19"/>
  <c r="P35" i="19"/>
  <c r="P37" i="19"/>
  <c r="P38" i="19"/>
  <c r="P39" i="19"/>
  <c r="P40" i="19"/>
  <c r="P41" i="19"/>
  <c r="P42" i="19"/>
  <c r="P30" i="19"/>
  <c r="P31" i="4"/>
  <c r="P32" i="4"/>
  <c r="P33" i="4"/>
  <c r="P34" i="4"/>
  <c r="P35" i="4"/>
  <c r="P36" i="4"/>
  <c r="P37" i="4"/>
  <c r="P38" i="4"/>
  <c r="P39" i="4"/>
  <c r="P40" i="4"/>
  <c r="P41" i="4"/>
  <c r="P30" i="4"/>
  <c r="P31" i="5"/>
  <c r="P32" i="5"/>
  <c r="P33" i="5"/>
  <c r="P34" i="5"/>
  <c r="P35" i="5"/>
  <c r="P36" i="5"/>
  <c r="P37" i="5"/>
  <c r="P38" i="5"/>
  <c r="P39" i="5"/>
  <c r="P40" i="5"/>
  <c r="P41" i="5"/>
  <c r="P42" i="5"/>
  <c r="P30" i="5"/>
  <c r="N43" i="6"/>
  <c r="F21" i="6" s="1"/>
  <c r="P31" i="6"/>
  <c r="P32" i="6"/>
  <c r="P33" i="6"/>
  <c r="P34" i="6"/>
  <c r="P35" i="6"/>
  <c r="P36" i="6"/>
  <c r="P37" i="6"/>
  <c r="P38" i="6"/>
  <c r="P40" i="6"/>
  <c r="P41" i="6"/>
  <c r="P42" i="6"/>
  <c r="P30" i="6"/>
  <c r="P31" i="7"/>
  <c r="P32" i="7"/>
  <c r="P33" i="7"/>
  <c r="P34" i="7"/>
  <c r="P35" i="7"/>
  <c r="P36" i="7"/>
  <c r="P38" i="7"/>
  <c r="P39" i="7"/>
  <c r="P40" i="7"/>
  <c r="P41" i="7"/>
  <c r="P42" i="7"/>
  <c r="P30" i="7"/>
  <c r="P32" i="8"/>
  <c r="P34" i="8"/>
  <c r="P38" i="8"/>
  <c r="P40" i="8"/>
  <c r="P42" i="8"/>
  <c r="P30" i="8"/>
  <c r="P31" i="9"/>
  <c r="P32" i="9"/>
  <c r="P33" i="9"/>
  <c r="P34" i="9"/>
  <c r="P35" i="9"/>
  <c r="P36" i="9"/>
  <c r="P37" i="9"/>
  <c r="P38" i="9"/>
  <c r="P39" i="9"/>
  <c r="P40" i="9"/>
  <c r="P41" i="9"/>
  <c r="P42" i="9"/>
  <c r="P30" i="9"/>
  <c r="P32" i="10"/>
  <c r="P34" i="10"/>
  <c r="P38" i="10"/>
  <c r="P40" i="10"/>
  <c r="P42" i="10"/>
  <c r="P30" i="10"/>
  <c r="N43" i="10"/>
  <c r="F21" i="10" s="1"/>
  <c r="P31" i="11"/>
  <c r="P32" i="11"/>
  <c r="P33" i="11"/>
  <c r="P34" i="11"/>
  <c r="P35" i="11"/>
  <c r="P36" i="11"/>
  <c r="P38" i="11"/>
  <c r="P39" i="11"/>
  <c r="P40" i="11"/>
  <c r="P41" i="11"/>
  <c r="P42" i="11"/>
  <c r="P30" i="11"/>
  <c r="P31" i="12"/>
  <c r="P32" i="12"/>
  <c r="P33" i="12"/>
  <c r="P34" i="12"/>
  <c r="P35" i="12"/>
  <c r="P36" i="12"/>
  <c r="P37" i="12"/>
  <c r="P38" i="12"/>
  <c r="P39" i="12"/>
  <c r="P40" i="12"/>
  <c r="P41" i="12"/>
  <c r="P42" i="12"/>
  <c r="P30" i="12"/>
  <c r="N43" i="12"/>
  <c r="F21" i="12" s="1"/>
  <c r="P31" i="13"/>
  <c r="P32" i="13"/>
  <c r="P33" i="13"/>
  <c r="P34" i="13"/>
  <c r="P35" i="13"/>
  <c r="P36" i="13"/>
  <c r="P37" i="13"/>
  <c r="P38" i="13"/>
  <c r="P39" i="13"/>
  <c r="P40" i="13"/>
  <c r="P41" i="13"/>
  <c r="P42" i="13"/>
  <c r="P30" i="13"/>
  <c r="P31" i="14"/>
  <c r="P32" i="14"/>
  <c r="P33" i="14"/>
  <c r="P34" i="14"/>
  <c r="P35" i="14"/>
  <c r="P36" i="14"/>
  <c r="P37" i="14"/>
  <c r="P38" i="14"/>
  <c r="P40" i="14"/>
  <c r="P41" i="14"/>
  <c r="P42" i="14"/>
  <c r="N43" i="15"/>
  <c r="D56" i="15" s="1"/>
  <c r="P31" i="15"/>
  <c r="P32" i="15"/>
  <c r="P33" i="15"/>
  <c r="P34" i="15"/>
  <c r="P35" i="15"/>
  <c r="P36" i="15"/>
  <c r="P37" i="15"/>
  <c r="P38" i="15"/>
  <c r="P39" i="15"/>
  <c r="P40" i="15"/>
  <c r="P41" i="15"/>
  <c r="P42" i="15"/>
  <c r="T12" i="1"/>
  <c r="R12" i="1"/>
  <c r="P12" i="1"/>
  <c r="N12" i="1"/>
  <c r="J12" i="1"/>
  <c r="D12" i="1"/>
  <c r="T12" i="23"/>
  <c r="R12" i="23"/>
  <c r="P12" i="23"/>
  <c r="N12" i="23"/>
  <c r="J12" i="23"/>
  <c r="D12" i="23"/>
  <c r="T12" i="20"/>
  <c r="R12" i="20"/>
  <c r="P12" i="20"/>
  <c r="N12" i="20"/>
  <c r="J12" i="20"/>
  <c r="D12" i="20"/>
  <c r="T12" i="21"/>
  <c r="R12" i="21"/>
  <c r="P12" i="21"/>
  <c r="N12" i="21"/>
  <c r="J12" i="21"/>
  <c r="D12" i="21"/>
  <c r="T12" i="22"/>
  <c r="R12" i="22"/>
  <c r="P12" i="22"/>
  <c r="N12" i="22"/>
  <c r="J12" i="22"/>
  <c r="D12" i="22"/>
  <c r="T12" i="16"/>
  <c r="R12" i="16"/>
  <c r="P12" i="16"/>
  <c r="N12" i="16"/>
  <c r="J12" i="16"/>
  <c r="D12" i="16"/>
  <c r="T12" i="17"/>
  <c r="R12" i="17"/>
  <c r="P12" i="17"/>
  <c r="N12" i="17"/>
  <c r="J12" i="17"/>
  <c r="D12" i="17"/>
  <c r="T12" i="18"/>
  <c r="R12" i="18"/>
  <c r="P12" i="18"/>
  <c r="N12" i="18"/>
  <c r="J12" i="18"/>
  <c r="D12" i="18"/>
  <c r="T12" i="19"/>
  <c r="R12" i="19"/>
  <c r="P12" i="19"/>
  <c r="N12" i="19"/>
  <c r="J12" i="19"/>
  <c r="D12" i="19"/>
  <c r="T12" i="4"/>
  <c r="R12" i="4"/>
  <c r="P12" i="4"/>
  <c r="N12" i="4"/>
  <c r="J12" i="4"/>
  <c r="D12" i="4"/>
  <c r="T12" i="5"/>
  <c r="R12" i="5"/>
  <c r="P12" i="5"/>
  <c r="N12" i="5"/>
  <c r="J12" i="5"/>
  <c r="D12" i="5"/>
  <c r="T12" i="6"/>
  <c r="R12" i="6"/>
  <c r="P12" i="6"/>
  <c r="N12" i="6"/>
  <c r="J12" i="6"/>
  <c r="D12" i="6"/>
  <c r="T12" i="7"/>
  <c r="R12" i="7"/>
  <c r="P12" i="7"/>
  <c r="N12" i="7"/>
  <c r="J12" i="7"/>
  <c r="D12" i="7"/>
  <c r="T12" i="8"/>
  <c r="R12" i="8"/>
  <c r="P12" i="8"/>
  <c r="N12" i="8"/>
  <c r="J12" i="8"/>
  <c r="D12" i="8"/>
  <c r="T12" i="9"/>
  <c r="R12" i="9"/>
  <c r="P12" i="9"/>
  <c r="N12" i="9"/>
  <c r="J12" i="9"/>
  <c r="D12" i="9"/>
  <c r="D12" i="10"/>
  <c r="T12" i="10"/>
  <c r="R12" i="10"/>
  <c r="P12" i="10"/>
  <c r="N12" i="10"/>
  <c r="J12" i="10"/>
  <c r="T12" i="11"/>
  <c r="R12" i="11"/>
  <c r="P12" i="11"/>
  <c r="N12" i="11"/>
  <c r="J12" i="11"/>
  <c r="D12" i="11"/>
  <c r="T12" i="12"/>
  <c r="R12" i="12"/>
  <c r="P12" i="12"/>
  <c r="N12" i="12"/>
  <c r="J12" i="12"/>
  <c r="D12" i="12"/>
  <c r="T12" i="13"/>
  <c r="R12" i="13"/>
  <c r="P12" i="13"/>
  <c r="N12" i="13"/>
  <c r="J12" i="13"/>
  <c r="D12" i="13"/>
  <c r="D12" i="14"/>
  <c r="T12" i="14"/>
  <c r="R12" i="14"/>
  <c r="P12" i="14"/>
  <c r="N12" i="14"/>
  <c r="J12" i="14"/>
  <c r="N20" i="1"/>
  <c r="N20" i="23"/>
  <c r="N20" i="20"/>
  <c r="N20" i="21"/>
  <c r="N20" i="22"/>
  <c r="N20" i="16"/>
  <c r="N20" i="17"/>
  <c r="N20" i="18"/>
  <c r="N20" i="19"/>
  <c r="N20" i="4"/>
  <c r="N20" i="5"/>
  <c r="N20" i="6"/>
  <c r="N20" i="7"/>
  <c r="N20" i="8"/>
  <c r="N20" i="9"/>
  <c r="N20" i="10"/>
  <c r="N20" i="11"/>
  <c r="N20" i="12"/>
  <c r="N20" i="13"/>
  <c r="N20" i="14"/>
  <c r="T20" i="1"/>
  <c r="T20" i="23"/>
  <c r="T20" i="20"/>
  <c r="T20" i="21"/>
  <c r="T20" i="22"/>
  <c r="T20" i="16"/>
  <c r="T20" i="17"/>
  <c r="T20" i="18"/>
  <c r="T20" i="19"/>
  <c r="T20" i="4"/>
  <c r="T20" i="5"/>
  <c r="T20" i="6"/>
  <c r="T20" i="7"/>
  <c r="T20" i="8"/>
  <c r="T20" i="9"/>
  <c r="T20" i="10"/>
  <c r="T20" i="11"/>
  <c r="T20" i="12"/>
  <c r="T20" i="13"/>
  <c r="T20" i="14"/>
  <c r="R20" i="1"/>
  <c r="R20" i="23"/>
  <c r="R20" i="20"/>
  <c r="R20" i="21"/>
  <c r="R20" i="22"/>
  <c r="R20" i="16"/>
  <c r="R20" i="17"/>
  <c r="R20" i="18"/>
  <c r="R20" i="19"/>
  <c r="R20" i="4"/>
  <c r="R20" i="5"/>
  <c r="R20" i="6"/>
  <c r="R20" i="7"/>
  <c r="R20" i="8"/>
  <c r="R20" i="9"/>
  <c r="R20" i="10"/>
  <c r="R20" i="11"/>
  <c r="R20" i="12"/>
  <c r="R20" i="13"/>
  <c r="R20" i="14"/>
  <c r="P20" i="1"/>
  <c r="P20" i="23"/>
  <c r="P20" i="20"/>
  <c r="P20" i="21"/>
  <c r="P20" i="22"/>
  <c r="P20" i="16"/>
  <c r="P20" i="17"/>
  <c r="P20" i="18"/>
  <c r="P20" i="19"/>
  <c r="P20" i="4"/>
  <c r="P20" i="5"/>
  <c r="P20" i="6"/>
  <c r="P20" i="7"/>
  <c r="P20" i="8"/>
  <c r="P20" i="9"/>
  <c r="P20" i="10"/>
  <c r="P20" i="11"/>
  <c r="P20" i="12"/>
  <c r="P20" i="13"/>
  <c r="P20" i="14"/>
  <c r="J20" i="1"/>
  <c r="J20" i="23"/>
  <c r="J20" i="20"/>
  <c r="J20" i="21"/>
  <c r="J20" i="22"/>
  <c r="J20" i="16"/>
  <c r="J20" i="17"/>
  <c r="J20" i="18"/>
  <c r="J20" i="19"/>
  <c r="J20" i="4"/>
  <c r="J20" i="5"/>
  <c r="J20" i="6"/>
  <c r="J20" i="7"/>
  <c r="J20" i="8"/>
  <c r="J20" i="9"/>
  <c r="J20" i="10"/>
  <c r="J20" i="11"/>
  <c r="J20" i="12"/>
  <c r="J20" i="13"/>
  <c r="J20" i="14"/>
  <c r="H20" i="1"/>
  <c r="H20" i="23"/>
  <c r="H20" i="20"/>
  <c r="H20" i="21"/>
  <c r="H20" i="22"/>
  <c r="H20" i="16"/>
  <c r="H20" i="17"/>
  <c r="H20" i="18"/>
  <c r="H20" i="19"/>
  <c r="H20" i="4"/>
  <c r="H20" i="5"/>
  <c r="H20" i="6"/>
  <c r="H20" i="7"/>
  <c r="H20" i="8"/>
  <c r="H20" i="9"/>
  <c r="H20" i="10"/>
  <c r="H20" i="11"/>
  <c r="H20" i="12"/>
  <c r="H20" i="13"/>
  <c r="H20" i="14"/>
  <c r="F20" i="1"/>
  <c r="F20" i="23"/>
  <c r="F20" i="20"/>
  <c r="F20" i="21"/>
  <c r="F20" i="22"/>
  <c r="F20" i="16"/>
  <c r="F20" i="17"/>
  <c r="F20" i="18"/>
  <c r="F20" i="19"/>
  <c r="F20" i="4"/>
  <c r="F20" i="5"/>
  <c r="F20" i="6"/>
  <c r="F20" i="7"/>
  <c r="F20" i="8"/>
  <c r="F20" i="9"/>
  <c r="F20" i="10"/>
  <c r="F20" i="11"/>
  <c r="F20" i="12"/>
  <c r="F20" i="13"/>
  <c r="F20" i="14"/>
  <c r="L30" i="15"/>
  <c r="P30" i="15" s="1"/>
  <c r="V16" i="1"/>
  <c r="V15" i="1"/>
  <c r="J24" i="1" s="1"/>
  <c r="V16" i="23"/>
  <c r="V15" i="23"/>
  <c r="J24" i="23" s="1"/>
  <c r="V16" i="20"/>
  <c r="V15" i="20"/>
  <c r="J24" i="20" s="1"/>
  <c r="V16" i="21"/>
  <c r="V15" i="21"/>
  <c r="J24" i="21" s="1"/>
  <c r="V16" i="22"/>
  <c r="V15" i="22"/>
  <c r="J24" i="22" s="1"/>
  <c r="V16" i="16"/>
  <c r="V15" i="16"/>
  <c r="J24" i="16" s="1"/>
  <c r="V16" i="17"/>
  <c r="V15" i="17"/>
  <c r="J24" i="17" s="1"/>
  <c r="V16" i="18"/>
  <c r="V18" i="18" s="1"/>
  <c r="V16" i="19"/>
  <c r="V15" i="19"/>
  <c r="J24" i="19" s="1"/>
  <c r="V16" i="4"/>
  <c r="V15" i="4"/>
  <c r="J24" i="4" s="1"/>
  <c r="V16" i="5"/>
  <c r="V15" i="5"/>
  <c r="J24" i="5" s="1"/>
  <c r="V16" i="6"/>
  <c r="V15" i="6"/>
  <c r="J24" i="6" s="1"/>
  <c r="V16" i="7"/>
  <c r="V15" i="7"/>
  <c r="J24" i="7" s="1"/>
  <c r="J24" i="8"/>
  <c r="V16" i="9"/>
  <c r="V15" i="9"/>
  <c r="J24" i="9" s="1"/>
  <c r="V16" i="10"/>
  <c r="V15" i="10"/>
  <c r="J24" i="10" s="1"/>
  <c r="V16" i="11"/>
  <c r="V15" i="11"/>
  <c r="J24" i="11" s="1"/>
  <c r="V16" i="12"/>
  <c r="V15" i="12"/>
  <c r="J24" i="12" s="1"/>
  <c r="V16" i="13"/>
  <c r="V15" i="13"/>
  <c r="J24" i="13" s="1"/>
  <c r="V16" i="14"/>
  <c r="V15" i="14"/>
  <c r="J24" i="14" s="1"/>
  <c r="V16" i="15"/>
  <c r="V15" i="15"/>
  <c r="J24" i="15" s="1"/>
  <c r="N43" i="8" l="1"/>
  <c r="P31" i="8"/>
  <c r="P49" i="20"/>
  <c r="P49" i="22"/>
  <c r="P49" i="16"/>
  <c r="P49" i="18"/>
  <c r="P49" i="4"/>
  <c r="P49" i="5"/>
  <c r="P48" i="25"/>
  <c r="N48" i="25" s="1"/>
  <c r="N43" i="5"/>
  <c r="F21" i="5" s="1"/>
  <c r="N43" i="19"/>
  <c r="F21" i="19" s="1"/>
  <c r="N43" i="17"/>
  <c r="F21" i="17" s="1"/>
  <c r="N43" i="22"/>
  <c r="F21" i="22" s="1"/>
  <c r="N43" i="1"/>
  <c r="F21" i="1" s="1"/>
  <c r="P46" i="25"/>
  <c r="P49" i="10"/>
  <c r="P49" i="9"/>
  <c r="P49" i="19"/>
  <c r="P49" i="23"/>
  <c r="N43" i="14"/>
  <c r="F21" i="14" s="1"/>
  <c r="P47" i="25"/>
  <c r="N43" i="13"/>
  <c r="F21" i="13" s="1"/>
  <c r="N43" i="11"/>
  <c r="F21" i="11" s="1"/>
  <c r="N43" i="9"/>
  <c r="F21" i="9" s="1"/>
  <c r="N43" i="7"/>
  <c r="D56" i="7" s="1"/>
  <c r="V15" i="25"/>
  <c r="P43" i="14"/>
  <c r="F17" i="14" s="1"/>
  <c r="V17" i="14" s="1"/>
  <c r="N43" i="4"/>
  <c r="F21" i="4" s="1"/>
  <c r="N43" i="18"/>
  <c r="F21" i="18" s="1"/>
  <c r="N43" i="16"/>
  <c r="F21" i="16" s="1"/>
  <c r="N43" i="21"/>
  <c r="F21" i="21" s="1"/>
  <c r="N43" i="23"/>
  <c r="F21" i="23" s="1"/>
  <c r="P42" i="4"/>
  <c r="P42" i="18"/>
  <c r="P43" i="18" s="1"/>
  <c r="F17" i="18" s="1"/>
  <c r="V17" i="18" s="1"/>
  <c r="P42" i="16"/>
  <c r="P43" i="16" s="1"/>
  <c r="F17" i="16" s="1"/>
  <c r="V17" i="16" s="1"/>
  <c r="P43" i="1"/>
  <c r="F17" i="1" s="1"/>
  <c r="V17" i="1" s="1"/>
  <c r="N43" i="20"/>
  <c r="F21" i="20" s="1"/>
  <c r="P43" i="8"/>
  <c r="F17" i="8" s="1"/>
  <c r="V17" i="8" s="1"/>
  <c r="P43" i="6"/>
  <c r="P43" i="5"/>
  <c r="F17" i="5" s="1"/>
  <c r="V17" i="5" s="1"/>
  <c r="P43" i="4"/>
  <c r="F17" i="4" s="1"/>
  <c r="V17" i="4" s="1"/>
  <c r="P43" i="19"/>
  <c r="F17" i="19" s="1"/>
  <c r="V17" i="19" s="1"/>
  <c r="P43" i="17"/>
  <c r="F17" i="17" s="1"/>
  <c r="V17" i="17" s="1"/>
  <c r="P43" i="22"/>
  <c r="F17" i="22" s="1"/>
  <c r="P43" i="21"/>
  <c r="F17" i="21" s="1"/>
  <c r="V17" i="21" s="1"/>
  <c r="P43" i="20"/>
  <c r="N43" i="25"/>
  <c r="D56" i="25" s="1"/>
  <c r="P43" i="13"/>
  <c r="F17" i="13" s="1"/>
  <c r="V17" i="13" s="1"/>
  <c r="P43" i="12"/>
  <c r="F17" i="12" s="1"/>
  <c r="V17" i="12" s="1"/>
  <c r="P43" i="11"/>
  <c r="P43" i="10"/>
  <c r="P43" i="9"/>
  <c r="P43" i="7"/>
  <c r="F17" i="7" s="1"/>
  <c r="V17" i="7" s="1"/>
  <c r="P32" i="23"/>
  <c r="P43" i="23" s="1"/>
  <c r="V18" i="23"/>
  <c r="V18" i="20"/>
  <c r="V18" i="10"/>
  <c r="V18" i="11"/>
  <c r="V18" i="12"/>
  <c r="V18" i="14"/>
  <c r="V18" i="1"/>
  <c r="V18" i="21"/>
  <c r="V18" i="22"/>
  <c r="V18" i="16"/>
  <c r="V18" i="17"/>
  <c r="V18" i="19"/>
  <c r="V18" i="4"/>
  <c r="V18" i="5"/>
  <c r="V18" i="6"/>
  <c r="V18" i="7"/>
  <c r="V18" i="9"/>
  <c r="L18" i="25"/>
  <c r="V18" i="13"/>
  <c r="N18" i="25"/>
  <c r="H18" i="25"/>
  <c r="R18" i="25"/>
  <c r="T18" i="25"/>
  <c r="R17" i="25"/>
  <c r="L17" i="25"/>
  <c r="P18" i="25"/>
  <c r="J18" i="25"/>
  <c r="V18" i="15"/>
  <c r="V16" i="25"/>
  <c r="F18" i="25"/>
  <c r="F21" i="7"/>
  <c r="F21" i="8"/>
  <c r="P49" i="6"/>
  <c r="H17" i="22"/>
  <c r="H17" i="25" s="1"/>
  <c r="L33" i="25"/>
  <c r="L34" i="25" s="1"/>
  <c r="L35" i="25" s="1"/>
  <c r="L36" i="25" s="1"/>
  <c r="L37" i="25" s="1"/>
  <c r="L38" i="25" s="1"/>
  <c r="L39" i="25" s="1"/>
  <c r="L40" i="25" s="1"/>
  <c r="L41" i="25" s="1"/>
  <c r="L42" i="25" s="1"/>
  <c r="L43" i="25" s="1"/>
  <c r="L45" i="25" s="1"/>
  <c r="L32" i="25"/>
  <c r="P31" i="25"/>
  <c r="P32" i="25"/>
  <c r="P33" i="25"/>
  <c r="P35" i="25"/>
  <c r="P37" i="25"/>
  <c r="P39" i="25"/>
  <c r="P41" i="25"/>
  <c r="D56" i="14"/>
  <c r="D56" i="13"/>
  <c r="D56" i="12"/>
  <c r="D56" i="10"/>
  <c r="D56" i="8"/>
  <c r="D56" i="6"/>
  <c r="D56" i="5"/>
  <c r="D56" i="19"/>
  <c r="D57" i="22"/>
  <c r="P49" i="11"/>
  <c r="F21" i="15"/>
  <c r="P43" i="15"/>
  <c r="F17" i="15" s="1"/>
  <c r="P42" i="25" l="1"/>
  <c r="P40" i="25"/>
  <c r="P38" i="25"/>
  <c r="P36" i="25"/>
  <c r="P34" i="25"/>
  <c r="F17" i="23"/>
  <c r="V17" i="23" s="1"/>
  <c r="F17" i="20"/>
  <c r="V17" i="20" s="1"/>
  <c r="P49" i="25"/>
  <c r="F17" i="9"/>
  <c r="V17" i="9" s="1"/>
  <c r="F17" i="11"/>
  <c r="V17" i="11" s="1"/>
  <c r="D56" i="1"/>
  <c r="D56" i="17"/>
  <c r="D56" i="4"/>
  <c r="D56" i="9"/>
  <c r="F17" i="10"/>
  <c r="V17" i="10" s="1"/>
  <c r="D56" i="11"/>
  <c r="D57" i="16"/>
  <c r="D56" i="18"/>
  <c r="V18" i="25"/>
  <c r="D56" i="21"/>
  <c r="D56" i="23"/>
  <c r="F17" i="6"/>
  <c r="V17" i="6" s="1"/>
  <c r="D56" i="20"/>
  <c r="V19" i="25"/>
  <c r="J24" i="25" s="1"/>
  <c r="V17" i="22"/>
  <c r="L46" i="25"/>
  <c r="N45" i="25"/>
  <c r="A3" i="24"/>
  <c r="P43" i="25" l="1"/>
  <c r="V17" i="15"/>
  <c r="F17" i="25"/>
  <c r="L47" i="25"/>
  <c r="N46" i="25"/>
  <c r="V17" i="25" l="1"/>
  <c r="F23" i="25"/>
  <c r="L49" i="25"/>
  <c r="N47" i="25"/>
  <c r="L51" i="25" l="1"/>
  <c r="N49" i="25"/>
  <c r="F21" i="25" s="1"/>
  <c r="F22" i="25" s="1"/>
</calcChain>
</file>

<file path=xl/comments1.xml><?xml version="1.0" encoding="utf-8"?>
<comments xmlns="http://schemas.openxmlformats.org/spreadsheetml/2006/main">
  <authors>
    <author>User</author>
  </authors>
  <commentLis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 управленческими </t>
        </r>
      </text>
    </comment>
  </commentList>
</comments>
</file>

<file path=xl/sharedStrings.xml><?xml version="1.0" encoding="utf-8"?>
<sst xmlns="http://schemas.openxmlformats.org/spreadsheetml/2006/main" count="1277" uniqueCount="109">
  <si>
    <t>Отчёт по затратам на содержание и текущий ремонт</t>
  </si>
  <si>
    <t>Расчёт, руб.</t>
  </si>
  <si>
    <t>Баланс на начало года</t>
  </si>
  <si>
    <t>Начислено</t>
  </si>
  <si>
    <t>Оплачено</t>
  </si>
  <si>
    <t>Израсходовано фактически за содержание жилья</t>
  </si>
  <si>
    <t>Баланс на конец года</t>
  </si>
  <si>
    <t>Содержание</t>
  </si>
  <si>
    <t>Всего</t>
  </si>
  <si>
    <t>Кап. ремонт</t>
  </si>
  <si>
    <t>Итого</t>
  </si>
  <si>
    <t>Справочно:</t>
  </si>
  <si>
    <t>Задолженность населения по всем услугам и работам УК в руб. за отчетный период</t>
  </si>
  <si>
    <t xml:space="preserve">№ </t>
  </si>
  <si>
    <t>Статья расходов</t>
  </si>
  <si>
    <t>Услуги по обслуживанию систем теплоснабжения, водоснабжение и водоотведения</t>
  </si>
  <si>
    <t>Транспортные услуги</t>
  </si>
  <si>
    <t>Сброс снега с крыш</t>
  </si>
  <si>
    <t>Уборка придомовой территории</t>
  </si>
  <si>
    <t>Аварийно-диспетческое обслуживание</t>
  </si>
  <si>
    <t>Обработка платежей, печать квитанций, услуги по сбору платежей</t>
  </si>
  <si>
    <t>Расходы по содержанию УК 20% от поступивших денежных средств на содержание общего имущества</t>
  </si>
  <si>
    <t>Услуги по взыскиванию долгов населения</t>
  </si>
  <si>
    <t>Работа паспортного стола</t>
  </si>
  <si>
    <t>Санитарные работы по содержанию помещений общего пользования</t>
  </si>
  <si>
    <t>Подготовка многоквартирного дома к сезонной эксплуатации</t>
  </si>
  <si>
    <t>Итого расходов на содержание жилья</t>
  </si>
  <si>
    <t>Текущий ремонт</t>
  </si>
  <si>
    <t>Сумма, руб.</t>
  </si>
  <si>
    <t>Итого расходов на текущему ремонту</t>
  </si>
  <si>
    <t>Капитальный ремонт</t>
  </si>
  <si>
    <t>Итого расходов по капитальному ремонту</t>
  </si>
  <si>
    <t>Работы выполнены ООО "Ресурс-Т", Томского района пос. Рассвет</t>
  </si>
  <si>
    <t>Площадь жилых помещений</t>
  </si>
  <si>
    <t>Услуги по обслуживанию конструктивных элементов</t>
  </si>
  <si>
    <t>Количество прописанных</t>
  </si>
  <si>
    <t>Количество л/с</t>
  </si>
  <si>
    <t>%</t>
  </si>
  <si>
    <t>Примечание:</t>
  </si>
  <si>
    <t>Рекомендовано утвердить новые тарифы:</t>
  </si>
  <si>
    <t>Директор ООО "Ресурс-Т"</t>
  </si>
  <si>
    <t>Соложенко В.А.</t>
  </si>
  <si>
    <t>Отчёт принят собственниками МКД</t>
  </si>
  <si>
    <t>кв._____</t>
  </si>
  <si>
    <r>
      <t>Тариф (руб/м</t>
    </r>
    <r>
      <rPr>
        <sz val="12"/>
        <color theme="1"/>
        <rFont val="Calibri"/>
        <family val="2"/>
        <charset val="204"/>
      </rPr>
      <t>²)</t>
    </r>
  </si>
  <si>
    <r>
      <t>Фактический тариф, руб/м</t>
    </r>
    <r>
      <rPr>
        <sz val="12"/>
        <color theme="1"/>
        <rFont val="Calibri"/>
        <family val="2"/>
        <charset val="204"/>
      </rPr>
      <t>²</t>
    </r>
  </si>
  <si>
    <r>
      <t>Общая площадь, м</t>
    </r>
    <r>
      <rPr>
        <sz val="12"/>
        <color theme="1"/>
        <rFont val="Calibri"/>
        <family val="2"/>
        <charset val="204"/>
      </rPr>
      <t>²</t>
    </r>
  </si>
  <si>
    <r>
      <t>Тариф по факту, руб./м</t>
    </r>
    <r>
      <rPr>
        <sz val="12"/>
        <color theme="1"/>
        <rFont val="Calibri"/>
        <family val="2"/>
        <charset val="204"/>
      </rPr>
      <t>²</t>
    </r>
  </si>
  <si>
    <t>по адресу: п. Рассвет, дом № 1</t>
  </si>
  <si>
    <t>по адресу: п. Рассвет, дом № 2</t>
  </si>
  <si>
    <t>по адресу: п. Рассвет, дом № 4</t>
  </si>
  <si>
    <t>по адресу: п. Рассвет, дом № 5</t>
  </si>
  <si>
    <t>по адресу: п. Рассвет, дом № 6</t>
  </si>
  <si>
    <t>по адресу: п. Рассвет, дом № 12</t>
  </si>
  <si>
    <t>по адресу: п. Рассвет, дом № 13</t>
  </si>
  <si>
    <t>по адресу: п.Рассвет, дом № 14</t>
  </si>
  <si>
    <t>по адресу: п. Рассвет, дом № 16</t>
  </si>
  <si>
    <t>по адресу: п. Рассвет, дом № 17</t>
  </si>
  <si>
    <t>по адресу: п. Рассвет, дом № 18</t>
  </si>
  <si>
    <t>по адресу: п. Рассвет, дом № 19</t>
  </si>
  <si>
    <t>по адресу: п. Рассвет, дом № 20</t>
  </si>
  <si>
    <t>по адресу: п. Рассвет, дом № 21</t>
  </si>
  <si>
    <t>по адресу: п. Рассвет, дом № 22</t>
  </si>
  <si>
    <t>по адресу: п. Рассвет, дом № 23</t>
  </si>
  <si>
    <t>по адресу: п. Рассвет, дом № 24</t>
  </si>
  <si>
    <t>по адресу: п. Рассвет, дом № 25</t>
  </si>
  <si>
    <t>по адресу: п. Рассвет, дом № 26</t>
  </si>
  <si>
    <t>по адресу: п. Рассвет, дом № 27</t>
  </si>
  <si>
    <t xml:space="preserve">Тариф </t>
  </si>
  <si>
    <t>Отопление</t>
  </si>
  <si>
    <t>Вывоз ТБО (руб./чел.)</t>
  </si>
  <si>
    <t>Обслуживание антены (руб./лиц.сч.)</t>
  </si>
  <si>
    <t>Капитальный ремонт крыши (доля собственников жилья)</t>
  </si>
  <si>
    <t>Ремонт подъездов</t>
  </si>
  <si>
    <t>Ремонт подъезда</t>
  </si>
  <si>
    <t>Замена задвижек, вентилей</t>
  </si>
  <si>
    <t>Электромонтажные работы (замена в этажном электрощитке)</t>
  </si>
  <si>
    <t>20 счёт!!!</t>
  </si>
  <si>
    <t>по адресу: п. Рассвет</t>
  </si>
  <si>
    <t>Израсходовано фактически за содержание жилья, руб.</t>
  </si>
  <si>
    <t>по адресу: п. Рассвет, дом № 3</t>
  </si>
  <si>
    <t>Ремонт подъездов (2,4)</t>
  </si>
  <si>
    <t>Остаток с предыдущего периода (задолженность(-), переплата (+)) на 01.07.2012г.</t>
  </si>
  <si>
    <t>Текущий остаток (задолженность (-), переплата (+)) на 31.10.2014г.</t>
  </si>
  <si>
    <t xml:space="preserve"> ООО "Ресурс-Т", Томского района пос. Рассвет</t>
  </si>
  <si>
    <t>Отчёт по капитальному ремонту, содержанию и текущему ремонту за период  01.07.2012-31.10.2014 гг.</t>
  </si>
  <si>
    <r>
      <t>Действующий тариф (руб/м</t>
    </r>
    <r>
      <rPr>
        <sz val="12"/>
        <color theme="1"/>
        <rFont val="Calibri"/>
        <family val="2"/>
        <charset val="204"/>
      </rPr>
      <t>²)</t>
    </r>
  </si>
  <si>
    <t>Снятие показаний электросчётчиков</t>
  </si>
  <si>
    <t xml:space="preserve"> </t>
  </si>
  <si>
    <t xml:space="preserve">Ремонт мягкой кровли дом № 3 </t>
  </si>
  <si>
    <t xml:space="preserve">Текущий ремонт рулонной кровли </t>
  </si>
  <si>
    <t>Ремонт электрощитка в подъезде дома № 2</t>
  </si>
  <si>
    <t>Ремонт мягкой кровли дом № 18</t>
  </si>
  <si>
    <t>Ремонт мякгой кровли дом № 19</t>
  </si>
  <si>
    <t>Прочие</t>
  </si>
  <si>
    <t>Ремонтные работы системы теплоснабжения</t>
  </si>
  <si>
    <t>с 1.01.2015 по 30.06.2015 г.</t>
  </si>
  <si>
    <t>Остаток с предыдущего периода (задолженность(-), переплата (+)) на 01.01.2015г.</t>
  </si>
  <si>
    <t>Текущий остаток (задолженность (-), переплата (+)) на 30.06.2015 г.</t>
  </si>
  <si>
    <t>Содержание общего имущества дома</t>
  </si>
  <si>
    <t>Содержание  общего имущества дома</t>
  </si>
  <si>
    <t>Содержание общнго имущества дома</t>
  </si>
  <si>
    <t xml:space="preserve">Содержание оьщего имущества дома </t>
  </si>
  <si>
    <t xml:space="preserve">Хол. вода </t>
  </si>
  <si>
    <t xml:space="preserve">13,09 руб./м3 </t>
  </si>
  <si>
    <t xml:space="preserve">Гор. вода </t>
  </si>
  <si>
    <t>Канализация</t>
  </si>
  <si>
    <t>18,66 руб./м3</t>
  </si>
  <si>
    <t>94,07 руб./м3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</si>
</sst>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1" fillId="3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164" fontId="1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/>
    <xf numFmtId="0" fontId="1" fillId="4" borderId="1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4" fillId="4" borderId="1" xfId="0" applyFont="1" applyFill="1" applyBorder="1"/>
    <xf numFmtId="164" fontId="4" fillId="4" borderId="1" xfId="0" applyNumberFormat="1" applyFont="1" applyFill="1" applyBorder="1"/>
    <xf numFmtId="164" fontId="4" fillId="0" borderId="0" xfId="0" applyNumberFormat="1" applyFont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2" fontId="1" fillId="0" borderId="2" xfId="0" applyNumberFormat="1" applyFont="1" applyBorder="1"/>
    <xf numFmtId="2" fontId="1" fillId="0" borderId="0" xfId="0" applyNumberFormat="1" applyFont="1"/>
    <xf numFmtId="2" fontId="4" fillId="4" borderId="1" xfId="0" applyNumberFormat="1" applyFont="1" applyFill="1" applyBorder="1"/>
    <xf numFmtId="2" fontId="1" fillId="2" borderId="0" xfId="0" applyNumberFormat="1" applyFont="1" applyFill="1"/>
    <xf numFmtId="0" fontId="4" fillId="3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V64"/>
  <sheetViews>
    <sheetView topLeftCell="A7" zoomScale="71" zoomScaleNormal="71" zoomScaleSheetLayoutView="78" workbookViewId="0">
      <selection activeCell="P18" sqref="P18:Q18"/>
    </sheetView>
  </sheetViews>
  <sheetFormatPr defaultRowHeight="15.75" x14ac:dyDescent="0.25"/>
  <cols>
    <col min="1" max="1" width="4.5703125" style="1" customWidth="1"/>
    <col min="2" max="2" width="3.7109375" style="1" bestFit="1" customWidth="1"/>
    <col min="3" max="3" width="37.5703125" style="1" customWidth="1"/>
    <col min="4" max="4" width="13.28515625" style="1" customWidth="1"/>
    <col min="5" max="5" width="10.28515625" style="1" customWidth="1"/>
    <col min="6" max="6" width="10.5703125" style="1" bestFit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2.140625" style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6.85546875" style="1" customWidth="1"/>
    <col min="18" max="18" width="11.85546875" style="1" customWidth="1"/>
    <col min="19" max="19" width="7.28515625" style="1" customWidth="1"/>
    <col min="20" max="20" width="14.85546875" style="1" customWidth="1"/>
    <col min="21" max="21" width="7" style="1" customWidth="1"/>
    <col min="22" max="22" width="12.140625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">
        <v>96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2:22" x14ac:dyDescent="0.25">
      <c r="C6" s="29" t="s">
        <v>48</v>
      </c>
    </row>
    <row r="8" spans="2:22" x14ac:dyDescent="0.25">
      <c r="C8" s="1" t="s">
        <v>33</v>
      </c>
      <c r="D8" s="2">
        <v>3585.5</v>
      </c>
    </row>
    <row r="9" spans="2:22" x14ac:dyDescent="0.25">
      <c r="C9" s="1" t="s">
        <v>35</v>
      </c>
      <c r="D9" s="3">
        <v>211</v>
      </c>
    </row>
    <row r="10" spans="2:22" x14ac:dyDescent="0.25">
      <c r="C10" s="1" t="s">
        <v>36</v>
      </c>
      <c r="D10" s="3">
        <v>81</v>
      </c>
    </row>
    <row r="12" spans="2:22" ht="63" x14ac:dyDescent="0.25">
      <c r="C12" s="27" t="s">
        <v>1</v>
      </c>
      <c r="D12" s="69" t="s">
        <v>99</v>
      </c>
      <c r="E12" s="70"/>
      <c r="F12" s="27" t="s">
        <v>8</v>
      </c>
      <c r="G12" s="36"/>
      <c r="H12" s="27" t="s">
        <v>9</v>
      </c>
      <c r="I12" s="36"/>
      <c r="J12" s="28" t="s">
        <v>70</v>
      </c>
      <c r="K12" s="36"/>
      <c r="L12" s="28" t="s">
        <v>69</v>
      </c>
      <c r="M12" s="36"/>
      <c r="N12" s="28" t="s">
        <v>71</v>
      </c>
      <c r="O12" s="37"/>
      <c r="P12" s="69" t="s">
        <v>103</v>
      </c>
      <c r="Q12" s="70"/>
      <c r="R12" s="69" t="s">
        <v>105</v>
      </c>
      <c r="S12" s="70"/>
      <c r="T12" s="69" t="s">
        <v>106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-827092.39999999991</v>
      </c>
    </row>
    <row r="14" spans="2:22" ht="47.25" x14ac:dyDescent="0.25">
      <c r="C14" s="10" t="s">
        <v>97</v>
      </c>
      <c r="D14" s="71"/>
      <c r="E14" s="72"/>
      <c r="F14" s="11">
        <v>-162989.37</v>
      </c>
      <c r="G14" s="7"/>
      <c r="H14" s="11">
        <v>-32790.26</v>
      </c>
      <c r="I14" s="7"/>
      <c r="J14" s="11">
        <v>-38741.49</v>
      </c>
      <c r="K14" s="7"/>
      <c r="L14" s="11">
        <v>-335323.56</v>
      </c>
      <c r="M14" s="7"/>
      <c r="N14" s="11">
        <v>-9370.76</v>
      </c>
      <c r="O14" s="7"/>
      <c r="P14" s="71">
        <v>-34567.14</v>
      </c>
      <c r="Q14" s="72"/>
      <c r="R14" s="71">
        <f>-86516.8-54022.8</f>
        <v>-140539.6</v>
      </c>
      <c r="S14" s="72"/>
      <c r="T14" s="71">
        <f>-48417.67-24352.55</f>
        <v>-72770.22</v>
      </c>
      <c r="U14" s="72"/>
      <c r="V14" s="14">
        <f>F14+H14+J14+L14+N14+P14+Q14+R14+S14+T14+U14</f>
        <v>-827092.39999999991</v>
      </c>
    </row>
    <row r="15" spans="2:22" x14ac:dyDescent="0.25">
      <c r="C15" s="9" t="s">
        <v>3</v>
      </c>
      <c r="D15" s="71"/>
      <c r="E15" s="72"/>
      <c r="F15" s="11">
        <f>212017.5+54877.2</f>
        <v>266894.7</v>
      </c>
      <c r="G15" s="7"/>
      <c r="H15" s="14">
        <v>0</v>
      </c>
      <c r="I15" s="7"/>
      <c r="J15" s="14">
        <f>44340.39+8864.77</f>
        <v>53205.16</v>
      </c>
      <c r="K15" s="7"/>
      <c r="L15" s="14">
        <f>445362.7+89065.04</f>
        <v>534427.74</v>
      </c>
      <c r="M15" s="7"/>
      <c r="N15" s="11">
        <f>16400+3250</f>
        <v>19650</v>
      </c>
      <c r="O15" s="7"/>
      <c r="P15" s="71">
        <f>18290.83+5856.42+102.08+16818.04</f>
        <v>41067.370000000003</v>
      </c>
      <c r="Q15" s="72"/>
      <c r="R15" s="82">
        <f>95186.88+32134.28+87127.64</f>
        <v>214448.8</v>
      </c>
      <c r="S15" s="83"/>
      <c r="T15" s="82">
        <f>8348.45+44956.14+6374.31+41259.13</f>
        <v>100938.03</v>
      </c>
      <c r="U15" s="83"/>
      <c r="V15" s="14">
        <f>F15+H15+J15+L15+N15+P15+Q15+R15+S15+T15+U15</f>
        <v>1230631.8</v>
      </c>
    </row>
    <row r="16" spans="2:22" x14ac:dyDescent="0.25">
      <c r="C16" s="9" t="s">
        <v>4</v>
      </c>
      <c r="D16" s="71"/>
      <c r="E16" s="72"/>
      <c r="F16" s="11">
        <f>204530.43+111.69+1142.44+2550.94</f>
        <v>208335.5</v>
      </c>
      <c r="G16" s="7"/>
      <c r="H16" s="14">
        <f>4422.18+28368.1</f>
        <v>32790.28</v>
      </c>
      <c r="I16" s="7"/>
      <c r="J16" s="14">
        <f>43422.3+827.48</f>
        <v>44249.780000000006</v>
      </c>
      <c r="K16" s="7"/>
      <c r="L16" s="14">
        <f>426705.74+6449.12+145514.94</f>
        <v>578669.80000000005</v>
      </c>
      <c r="M16" s="7"/>
      <c r="N16" s="14">
        <f>16120.28+316.74</f>
        <v>16437.02</v>
      </c>
      <c r="O16" s="7"/>
      <c r="P16" s="82">
        <f>19854.04+80.08+14844.55+1.18+758.34+190.25</f>
        <v>35728.439999999995</v>
      </c>
      <c r="Q16" s="83"/>
      <c r="R16" s="82">
        <f>95423.86+72917.43+4314.75+668.38</f>
        <v>173324.41999999998</v>
      </c>
      <c r="S16" s="83"/>
      <c r="T16" s="82">
        <f>45739.37+35564.18+176.92+1690.82+356.03</f>
        <v>83527.320000000007</v>
      </c>
      <c r="U16" s="83"/>
      <c r="V16" s="14">
        <f>F16+H16+J16+L16+N16+P16+Q16+R16+S16+T16+U16</f>
        <v>1173062.56</v>
      </c>
    </row>
    <row r="17" spans="2:22" ht="31.5" x14ac:dyDescent="0.25">
      <c r="C17" s="10" t="s">
        <v>79</v>
      </c>
      <c r="D17" s="71"/>
      <c r="E17" s="72"/>
      <c r="F17" s="14">
        <f>P43+P49</f>
        <v>340478.79566985008</v>
      </c>
      <c r="G17" s="7"/>
      <c r="H17" s="11"/>
      <c r="I17" s="7"/>
      <c r="J17" s="14">
        <f>J15</f>
        <v>53205.16</v>
      </c>
      <c r="K17" s="7"/>
      <c r="L17" s="14">
        <f>D8*L20*6</f>
        <v>534598.05000000005</v>
      </c>
      <c r="M17" s="7"/>
      <c r="N17" s="14">
        <v>3917.3</v>
      </c>
      <c r="O17" s="7"/>
      <c r="P17" s="82">
        <f>P15+Q15</f>
        <v>41067.370000000003</v>
      </c>
      <c r="Q17" s="83"/>
      <c r="R17" s="82">
        <f>R15+S15</f>
        <v>214448.8</v>
      </c>
      <c r="S17" s="83"/>
      <c r="T17" s="82">
        <f>T15+U15+25610.41</f>
        <v>126548.44</v>
      </c>
      <c r="U17" s="72"/>
      <c r="V17" s="14">
        <f>F17+H17+J17+L17+N17+P17+Q17+R17+S17+T17+U17</f>
        <v>1314263.9156698501</v>
      </c>
    </row>
    <row r="18" spans="2:22" ht="31.5" x14ac:dyDescent="0.25">
      <c r="C18" s="10" t="s">
        <v>98</v>
      </c>
      <c r="D18" s="71"/>
      <c r="E18" s="72"/>
      <c r="F18" s="31">
        <f>F16-F15+F14</f>
        <v>-221548.57</v>
      </c>
      <c r="G18" s="32"/>
      <c r="H18" s="31">
        <f>H16-H15+H14</f>
        <v>1.9999999996798579E-2</v>
      </c>
      <c r="I18" s="32"/>
      <c r="J18" s="31">
        <f>J16-J15+J14</f>
        <v>-47696.869999999995</v>
      </c>
      <c r="K18" s="32"/>
      <c r="L18" s="31">
        <f>L16-L15+L14</f>
        <v>-291081.49999999994</v>
      </c>
      <c r="M18" s="32"/>
      <c r="N18" s="31">
        <f>N16-N15+N14</f>
        <v>-12583.74</v>
      </c>
      <c r="O18" s="32"/>
      <c r="P18" s="84">
        <f t="shared" ref="P18:V18" si="0">P16-P15+P14</f>
        <v>-39906.070000000007</v>
      </c>
      <c r="Q18" s="85"/>
      <c r="R18" s="84">
        <f t="shared" si="0"/>
        <v>-181663.98</v>
      </c>
      <c r="S18" s="85"/>
      <c r="T18" s="84">
        <f t="shared" si="0"/>
        <v>-90180.93</v>
      </c>
      <c r="U18" s="85"/>
      <c r="V18" s="31">
        <f t="shared" si="0"/>
        <v>-884661.6399999999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-884661.6399999999</v>
      </c>
    </row>
    <row r="20" spans="2:22" x14ac:dyDescent="0.25">
      <c r="C20" s="9" t="s">
        <v>44</v>
      </c>
      <c r="D20" s="71"/>
      <c r="E20" s="72"/>
      <c r="F20" s="11">
        <v>11.83</v>
      </c>
      <c r="G20" s="7"/>
      <c r="H20" s="11">
        <v>3.54</v>
      </c>
      <c r="I20" s="7"/>
      <c r="J20" s="11">
        <v>44.32</v>
      </c>
      <c r="K20" s="7"/>
      <c r="L20" s="11">
        <v>24.85</v>
      </c>
      <c r="M20" s="7"/>
      <c r="N20" s="11">
        <v>50</v>
      </c>
      <c r="O20" s="7"/>
      <c r="P20" s="71" t="s">
        <v>104</v>
      </c>
      <c r="Q20" s="72"/>
      <c r="R20" s="71" t="s">
        <v>108</v>
      </c>
      <c r="S20" s="72"/>
      <c r="T20" s="71" t="s">
        <v>107</v>
      </c>
      <c r="U20" s="72"/>
      <c r="V20" s="11"/>
    </row>
    <row r="21" spans="2:22" x14ac:dyDescent="0.25">
      <c r="C21" s="9" t="s">
        <v>45</v>
      </c>
      <c r="D21" s="71"/>
      <c r="E21" s="72"/>
      <c r="F21" s="14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-71.886785308164463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51" t="s">
        <v>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f>D8</f>
        <v>3585.5</v>
      </c>
      <c r="M30" s="56"/>
      <c r="N30" s="56">
        <v>5.5</v>
      </c>
      <c r="O30" s="56"/>
      <c r="P30" s="4">
        <f>L30*N30*6</f>
        <v>118321.5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3585.5</v>
      </c>
      <c r="M31" s="56"/>
      <c r="N31" s="56">
        <v>1</v>
      </c>
      <c r="O31" s="56"/>
      <c r="P31" s="4">
        <f t="shared" ref="P31:P42" si="1">L31*N31*6</f>
        <v>21513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3585.5</v>
      </c>
      <c r="M32" s="56"/>
      <c r="N32" s="56">
        <v>0.4</v>
      </c>
      <c r="O32" s="56"/>
      <c r="P32" s="4">
        <f t="shared" si="1"/>
        <v>8605.2000000000007</v>
      </c>
    </row>
    <row r="33" spans="2:18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3585.5</v>
      </c>
      <c r="M33" s="56"/>
      <c r="N33" s="56">
        <v>0.6</v>
      </c>
      <c r="O33" s="56"/>
      <c r="P33" s="4">
        <f t="shared" si="1"/>
        <v>12907.8</v>
      </c>
    </row>
    <row r="34" spans="2:18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3585.5</v>
      </c>
      <c r="M34" s="56"/>
      <c r="N34" s="56">
        <v>1</v>
      </c>
      <c r="O34" s="56"/>
      <c r="P34" s="4">
        <f t="shared" si="1"/>
        <v>21513</v>
      </c>
    </row>
    <row r="35" spans="2:18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3585.5</v>
      </c>
      <c r="M35" s="56"/>
      <c r="N35" s="61">
        <v>2.4</v>
      </c>
      <c r="O35" s="61"/>
      <c r="P35" s="4">
        <f t="shared" si="1"/>
        <v>51631.199999999997</v>
      </c>
    </row>
    <row r="36" spans="2:18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3585.5</v>
      </c>
      <c r="M36" s="56"/>
      <c r="N36" s="66">
        <v>1.4198999999999999</v>
      </c>
      <c r="O36" s="66"/>
      <c r="P36" s="4">
        <f t="shared" si="1"/>
        <v>30546.308700000001</v>
      </c>
    </row>
    <row r="37" spans="2:18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3585.5</v>
      </c>
      <c r="M37" s="56"/>
      <c r="N37" s="61">
        <v>1.2367534499999999</v>
      </c>
      <c r="O37" s="61"/>
      <c r="P37" s="4">
        <f t="shared" si="1"/>
        <v>26606.276969849998</v>
      </c>
    </row>
    <row r="38" spans="2:18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3585.5</v>
      </c>
      <c r="M38" s="56"/>
      <c r="N38" s="61">
        <v>0.3</v>
      </c>
      <c r="O38" s="61"/>
      <c r="P38" s="4">
        <f t="shared" si="1"/>
        <v>6453.9</v>
      </c>
    </row>
    <row r="39" spans="2:18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3585.5</v>
      </c>
      <c r="M39" s="56"/>
      <c r="N39" s="56">
        <v>0.92</v>
      </c>
      <c r="O39" s="56"/>
      <c r="P39" s="4">
        <f t="shared" si="1"/>
        <v>19791.960000000003</v>
      </c>
    </row>
    <row r="40" spans="2:18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3585.5</v>
      </c>
      <c r="M40" s="56"/>
      <c r="N40" s="56">
        <v>0.05</v>
      </c>
      <c r="O40" s="56"/>
      <c r="P40" s="17">
        <f t="shared" si="1"/>
        <v>1075.6500000000001</v>
      </c>
    </row>
    <row r="41" spans="2:18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3585.5</v>
      </c>
      <c r="M41" s="56"/>
      <c r="N41" s="61">
        <v>0</v>
      </c>
      <c r="O41" s="61"/>
      <c r="P41" s="17">
        <f t="shared" si="1"/>
        <v>0</v>
      </c>
    </row>
    <row r="42" spans="2:18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3585.5</v>
      </c>
      <c r="M42" s="56"/>
      <c r="N42" s="61">
        <v>1</v>
      </c>
      <c r="O42" s="61"/>
      <c r="P42" s="17">
        <f t="shared" si="1"/>
        <v>21513</v>
      </c>
    </row>
    <row r="43" spans="2:18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3585.5</v>
      </c>
      <c r="M43" s="55"/>
      <c r="N43" s="64">
        <f t="shared" ref="N43" si="2">SUM(N30:N42)</f>
        <v>15.826653450000002</v>
      </c>
      <c r="O43" s="65"/>
      <c r="P43" s="39">
        <f>SUM(P30:P42)</f>
        <v>340478.79566985008</v>
      </c>
    </row>
    <row r="44" spans="2:18" hidden="1" x14ac:dyDescent="0.25">
      <c r="B44" s="51" t="s">
        <v>27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8" hidden="1" x14ac:dyDescent="0.25">
      <c r="B45" s="4">
        <v>1</v>
      </c>
      <c r="C45" s="58" t="s">
        <v>81</v>
      </c>
      <c r="D45" s="59"/>
      <c r="E45" s="59"/>
      <c r="F45" s="59"/>
      <c r="G45" s="59"/>
      <c r="H45" s="59"/>
      <c r="I45" s="59"/>
      <c r="J45" s="59"/>
      <c r="K45" s="60"/>
      <c r="L45" s="56">
        <v>3585.5</v>
      </c>
      <c r="M45" s="56"/>
      <c r="N45" s="61">
        <f>P45/L45/6</f>
        <v>0</v>
      </c>
      <c r="O45" s="61"/>
      <c r="P45" s="17"/>
    </row>
    <row r="46" spans="2:18" hidden="1" x14ac:dyDescent="0.25">
      <c r="B46" s="4">
        <v>1</v>
      </c>
      <c r="C46" s="58" t="s">
        <v>75</v>
      </c>
      <c r="D46" s="59"/>
      <c r="E46" s="59"/>
      <c r="F46" s="59"/>
      <c r="G46" s="59"/>
      <c r="H46" s="59"/>
      <c r="I46" s="59"/>
      <c r="J46" s="59"/>
      <c r="K46" s="60"/>
      <c r="L46" s="56">
        <v>3585.5</v>
      </c>
      <c r="M46" s="56"/>
      <c r="N46" s="56"/>
      <c r="O46" s="56"/>
      <c r="P46" s="17">
        <f>L46*N46*6</f>
        <v>0</v>
      </c>
    </row>
    <row r="47" spans="2:18" hidden="1" x14ac:dyDescent="0.25">
      <c r="B47" s="4">
        <v>2</v>
      </c>
      <c r="C47" s="58" t="s">
        <v>76</v>
      </c>
      <c r="D47" s="59"/>
      <c r="E47" s="59"/>
      <c r="F47" s="59"/>
      <c r="G47" s="59"/>
      <c r="H47" s="59"/>
      <c r="I47" s="59"/>
      <c r="J47" s="59"/>
      <c r="K47" s="60"/>
      <c r="L47" s="56">
        <v>3585.5</v>
      </c>
      <c r="M47" s="56"/>
      <c r="N47" s="56"/>
      <c r="O47" s="56"/>
      <c r="P47" s="17">
        <f>L47*N47*6</f>
        <v>0</v>
      </c>
      <c r="R47" s="1" t="s">
        <v>88</v>
      </c>
    </row>
    <row r="48" spans="2:18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3585.5</v>
      </c>
      <c r="M48" s="56"/>
      <c r="N48" s="56"/>
      <c r="O48" s="5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3585.5</v>
      </c>
      <c r="M49" s="55"/>
      <c r="N49" s="57">
        <f>SUM(N45:O48)</f>
        <v>0</v>
      </c>
      <c r="O49" s="55"/>
      <c r="P49" s="39">
        <f>SUM(P45:P48)</f>
        <v>0</v>
      </c>
    </row>
    <row r="50" spans="2:16" hidden="1" x14ac:dyDescent="0.25">
      <c r="B50" s="51" t="s">
        <v>30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3585.5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4:S14"/>
    <mergeCell ref="R13:S13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4:Q14"/>
    <mergeCell ref="P15:Q15"/>
    <mergeCell ref="P16:Q16"/>
    <mergeCell ref="P13:Q13"/>
    <mergeCell ref="T12:U12"/>
    <mergeCell ref="T14:U14"/>
    <mergeCell ref="T13:U13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B1:V64"/>
  <sheetViews>
    <sheetView view="pageBreakPreview" topLeftCell="A7" zoomScale="79" zoomScaleNormal="84" zoomScaleSheetLayoutView="79" workbookViewId="0">
      <selection activeCell="R27" sqref="R27"/>
    </sheetView>
  </sheetViews>
  <sheetFormatPr defaultRowHeight="15.75" x14ac:dyDescent="0.25"/>
  <cols>
    <col min="1" max="1" width="3.5703125" style="1" customWidth="1"/>
    <col min="2" max="2" width="3.7109375" style="1" bestFit="1" customWidth="1"/>
    <col min="3" max="3" width="40.140625" style="1" customWidth="1"/>
    <col min="4" max="4" width="13.28515625" style="1" customWidth="1"/>
    <col min="5" max="5" width="11.7109375" style="1" customWidth="1"/>
    <col min="6" max="6" width="10.140625" style="1" customWidth="1"/>
    <col min="7" max="7" width="1.5703125" style="1" customWidth="1"/>
    <col min="8" max="8" width="12.5703125" style="1" customWidth="1"/>
    <col min="9" max="9" width="1.5703125" style="1" customWidth="1"/>
    <col min="10" max="10" width="11.85546875" style="1" customWidth="1"/>
    <col min="11" max="11" width="2.28515625" style="1" customWidth="1"/>
    <col min="12" max="12" width="11.425781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28515625" style="1" customWidth="1"/>
    <col min="19" max="19" width="10.28515625" style="1" customWidth="1"/>
    <col min="20" max="20" width="15.285156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56</v>
      </c>
    </row>
    <row r="8" spans="2:22" x14ac:dyDescent="0.25">
      <c r="C8" s="1" t="s">
        <v>33</v>
      </c>
      <c r="D8" s="2">
        <v>718</v>
      </c>
    </row>
    <row r="9" spans="2:22" x14ac:dyDescent="0.25">
      <c r="C9" s="1" t="s">
        <v>35</v>
      </c>
      <c r="D9" s="3">
        <v>50</v>
      </c>
    </row>
    <row r="10" spans="2:22" x14ac:dyDescent="0.25">
      <c r="C10" s="1" t="s">
        <v>36</v>
      </c>
      <c r="D10" s="3">
        <v>16</v>
      </c>
    </row>
    <row r="12" spans="2:22" ht="47.25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-119839.80000000002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-21098.6</v>
      </c>
      <c r="G14" s="7"/>
      <c r="H14" s="11">
        <v>-2892.7</v>
      </c>
      <c r="I14" s="7"/>
      <c r="J14" s="11">
        <v>-3635.7</v>
      </c>
      <c r="K14" s="7"/>
      <c r="L14" s="11">
        <v>-66830.600000000006</v>
      </c>
      <c r="M14" s="7"/>
      <c r="N14" s="11">
        <v>-2101.1999999999998</v>
      </c>
      <c r="O14" s="7"/>
      <c r="P14" s="71">
        <v>-2501.1</v>
      </c>
      <c r="Q14" s="72"/>
      <c r="R14" s="71">
        <v>-14188.8</v>
      </c>
      <c r="S14" s="72"/>
      <c r="T14" s="71">
        <v>-6591.1</v>
      </c>
      <c r="U14" s="72"/>
      <c r="V14" s="14">
        <f>F14+H14+J14+L14+N14+P14+Q14+R14+S14+T14+U14</f>
        <v>-119839.80000000002</v>
      </c>
    </row>
    <row r="15" spans="2:22" x14ac:dyDescent="0.25">
      <c r="C15" s="9" t="s">
        <v>3</v>
      </c>
      <c r="D15" s="71"/>
      <c r="E15" s="72"/>
      <c r="F15" s="11">
        <f>9921.52+25011.27+19843.04</f>
        <v>54775.83</v>
      </c>
      <c r="G15" s="7"/>
      <c r="H15" s="14"/>
      <c r="I15" s="7"/>
      <c r="J15" s="14">
        <f>1684.31+9131.69</f>
        <v>10816</v>
      </c>
      <c r="K15" s="7"/>
      <c r="L15" s="11">
        <f>26867.26+134251.14</f>
        <v>161118.40000000002</v>
      </c>
      <c r="M15" s="7"/>
      <c r="N15" s="11">
        <f>700+3550</f>
        <v>4250</v>
      </c>
      <c r="O15" s="7"/>
      <c r="P15" s="82">
        <f>901.23+3267.79+3102.34</f>
        <v>7271.3600000000006</v>
      </c>
      <c r="Q15" s="83"/>
      <c r="R15" s="82">
        <f>4388.36+17005.8+18249.6</f>
        <v>39643.759999999995</v>
      </c>
      <c r="S15" s="83"/>
      <c r="T15" s="82">
        <f>1284.73+8031.73+870.5+8042.46</f>
        <v>18229.419999999998</v>
      </c>
      <c r="U15" s="83"/>
      <c r="V15" s="11">
        <f>F15+H15+J15+L15+N15+P15+Q15+R15+S15+T15+U15</f>
        <v>296104.77</v>
      </c>
    </row>
    <row r="16" spans="2:22" x14ac:dyDescent="0.25">
      <c r="C16" s="9" t="s">
        <v>4</v>
      </c>
      <c r="D16" s="71"/>
      <c r="E16" s="72"/>
      <c r="F16" s="11">
        <f>33693.43+7391.59+2245.79</f>
        <v>43330.810000000005</v>
      </c>
      <c r="G16" s="7"/>
      <c r="H16" s="14">
        <f>1563.09+1329.6</f>
        <v>2892.6899999999996</v>
      </c>
      <c r="I16" s="7"/>
      <c r="J16" s="14">
        <f>9068.59+404.93</f>
        <v>9473.52</v>
      </c>
      <c r="K16" s="7"/>
      <c r="L16" s="11">
        <f>130567.99+31380.1+4823.32</f>
        <v>166771.41</v>
      </c>
      <c r="M16" s="7"/>
      <c r="N16" s="14">
        <f>3490.81+75.62</f>
        <v>3566.43</v>
      </c>
      <c r="O16" s="7"/>
      <c r="P16" s="82">
        <f>3278.49+3032.58+270.14+54.32</f>
        <v>6635.53</v>
      </c>
      <c r="Q16" s="83"/>
      <c r="R16" s="82">
        <f>19969.24+17258.83+509.7+280.19</f>
        <v>38017.960000000006</v>
      </c>
      <c r="S16" s="83"/>
      <c r="T16" s="82">
        <f>7954.82+7746.5+55.74+55.45+386.71+77.18</f>
        <v>16276.4</v>
      </c>
      <c r="U16" s="83"/>
      <c r="V16" s="12">
        <f t="shared" ref="V16:V17" si="0">F16+H16+J16+L16+N16+P16+Q16+R16+S16+T16+U16</f>
        <v>286964.75</v>
      </c>
    </row>
    <row r="17" spans="2:22" ht="31.5" x14ac:dyDescent="0.25">
      <c r="C17" s="10" t="s">
        <v>5</v>
      </c>
      <c r="D17" s="71"/>
      <c r="E17" s="72"/>
      <c r="F17" s="14">
        <f>P43+P49</f>
        <v>68181.223062600009</v>
      </c>
      <c r="G17" s="7"/>
      <c r="H17" s="11">
        <f>P51</f>
        <v>0</v>
      </c>
      <c r="I17" s="7"/>
      <c r="J17" s="14">
        <f>J15</f>
        <v>10816</v>
      </c>
      <c r="K17" s="7"/>
      <c r="L17" s="11">
        <f>D8*L20*6</f>
        <v>164048.63999999998</v>
      </c>
      <c r="M17" s="7"/>
      <c r="N17" s="14">
        <v>3917.3</v>
      </c>
      <c r="O17" s="7"/>
      <c r="P17" s="82">
        <f>P15+Q15</f>
        <v>7271.3600000000006</v>
      </c>
      <c r="Q17" s="83"/>
      <c r="R17" s="82">
        <f>R15+S15</f>
        <v>39643.759999999995</v>
      </c>
      <c r="S17" s="83"/>
      <c r="T17" s="82">
        <f>T15+U15+27289.3009</f>
        <v>45518.7209</v>
      </c>
      <c r="U17" s="83"/>
      <c r="V17" s="12">
        <f t="shared" si="0"/>
        <v>339397.00396260002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-32543.619999999995</v>
      </c>
      <c r="G18" s="40"/>
      <c r="H18" s="31">
        <f>H16-H15+H14</f>
        <v>-1.0000000000218279E-2</v>
      </c>
      <c r="I18" s="40"/>
      <c r="J18" s="31">
        <f>J16-J15+J14</f>
        <v>-4978.1799999999994</v>
      </c>
      <c r="K18" s="40"/>
      <c r="L18" s="31">
        <f>L16-L15+L14</f>
        <v>-61177.590000000026</v>
      </c>
      <c r="M18" s="40"/>
      <c r="N18" s="31">
        <f>N16-N15+N14</f>
        <v>-2784.77</v>
      </c>
      <c r="O18" s="40"/>
      <c r="P18" s="84">
        <f>P16-P15+P14</f>
        <v>-3136.9300000000007</v>
      </c>
      <c r="Q18" s="85"/>
      <c r="R18" s="84">
        <f t="shared" ref="R18:V18" si="1">R16-R15+R14</f>
        <v>-15814.599999999988</v>
      </c>
      <c r="S18" s="85"/>
      <c r="T18" s="84">
        <f t="shared" si="1"/>
        <v>-8544.119999999999</v>
      </c>
      <c r="U18" s="85"/>
      <c r="V18" s="31">
        <f t="shared" si="1"/>
        <v>-128979.82000000004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-128979.82000000002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38.08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-43.558845742336409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718</v>
      </c>
      <c r="M30" s="56"/>
      <c r="N30" s="56">
        <f>'1'!N30:O30</f>
        <v>5.5</v>
      </c>
      <c r="O30" s="56"/>
      <c r="P30" s="17">
        <f>L30*N30*6</f>
        <v>23694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718</v>
      </c>
      <c r="M31" s="56"/>
      <c r="N31" s="56">
        <f>'1'!N31:O31</f>
        <v>1</v>
      </c>
      <c r="O31" s="56"/>
      <c r="P31" s="17">
        <f t="shared" ref="P31:P42" si="2">L31*N31*6</f>
        <v>4308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718</v>
      </c>
      <c r="M32" s="56"/>
      <c r="N32" s="56">
        <f>'1'!N32:O32</f>
        <v>0.4</v>
      </c>
      <c r="O32" s="56"/>
      <c r="P32" s="17">
        <f t="shared" si="2"/>
        <v>1723.1999999999998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718</v>
      </c>
      <c r="M33" s="56"/>
      <c r="N33" s="56">
        <f>'1'!N33:O33</f>
        <v>0.6</v>
      </c>
      <c r="O33" s="56"/>
      <c r="P33" s="17">
        <f t="shared" si="2"/>
        <v>2584.8000000000002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718</v>
      </c>
      <c r="M34" s="56"/>
      <c r="N34" s="56">
        <f>'1'!N34:O34</f>
        <v>1</v>
      </c>
      <c r="O34" s="56"/>
      <c r="P34" s="17">
        <f t="shared" si="2"/>
        <v>4308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718</v>
      </c>
      <c r="M35" s="56"/>
      <c r="N35" s="61">
        <f>'1'!N35:O35</f>
        <v>2.4</v>
      </c>
      <c r="O35" s="61"/>
      <c r="P35" s="17">
        <f t="shared" si="2"/>
        <v>10339.200000000001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718</v>
      </c>
      <c r="M36" s="56"/>
      <c r="N36" s="56">
        <f>'1'!N36:O36</f>
        <v>1.4198999999999999</v>
      </c>
      <c r="O36" s="56"/>
      <c r="P36" s="17">
        <f t="shared" si="2"/>
        <v>6116.9292000000005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718</v>
      </c>
      <c r="M37" s="56"/>
      <c r="N37" s="61">
        <f>'1'!N37:O37</f>
        <v>1.2367534499999999</v>
      </c>
      <c r="O37" s="61"/>
      <c r="P37" s="17">
        <f t="shared" si="2"/>
        <v>5327.9338625999999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718</v>
      </c>
      <c r="M38" s="56"/>
      <c r="N38" s="61">
        <f>'1'!N38:O38</f>
        <v>0.3</v>
      </c>
      <c r="O38" s="61"/>
      <c r="P38" s="17">
        <f t="shared" si="2"/>
        <v>1292.4000000000001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718</v>
      </c>
      <c r="M39" s="56"/>
      <c r="N39" s="56">
        <f>'1'!N39:O39</f>
        <v>0.92</v>
      </c>
      <c r="O39" s="56"/>
      <c r="P39" s="17">
        <f t="shared" si="2"/>
        <v>3963.3600000000006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718</v>
      </c>
      <c r="M40" s="56"/>
      <c r="N40" s="56">
        <f>'1'!N40:O40</f>
        <v>0.05</v>
      </c>
      <c r="O40" s="56"/>
      <c r="P40" s="17">
        <f t="shared" si="2"/>
        <v>215.39999999999998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718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718</v>
      </c>
      <c r="M42" s="56"/>
      <c r="N42" s="66">
        <f>'1'!N42:O42</f>
        <v>1</v>
      </c>
      <c r="O42" s="66"/>
      <c r="P42" s="17">
        <f t="shared" si="2"/>
        <v>4308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718</v>
      </c>
      <c r="M43" s="55"/>
      <c r="N43" s="87">
        <f>SUM(N30:O42)</f>
        <v>15.826653450000002</v>
      </c>
      <c r="O43" s="87"/>
      <c r="P43" s="39">
        <f>SUM(P30:P42)</f>
        <v>68181.223062600009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718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718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8" t="s">
        <v>95</v>
      </c>
      <c r="D47" s="59"/>
      <c r="E47" s="59"/>
      <c r="F47" s="59"/>
      <c r="G47" s="59"/>
      <c r="H47" s="59"/>
      <c r="I47" s="59"/>
      <c r="J47" s="59"/>
      <c r="K47" s="60"/>
      <c r="L47" s="56">
        <v>718</v>
      </c>
      <c r="M47" s="56"/>
      <c r="N47" s="66"/>
      <c r="O47" s="66"/>
      <c r="P47" s="17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718</v>
      </c>
      <c r="M48" s="56"/>
      <c r="N48" s="66"/>
      <c r="O48" s="6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718</v>
      </c>
      <c r="M49" s="55"/>
      <c r="N49" s="87">
        <f>SUM(N45:O48)</f>
        <v>0</v>
      </c>
      <c r="O49" s="87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718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4:E14"/>
    <mergeCell ref="D13:E13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B1:V64"/>
  <sheetViews>
    <sheetView view="pageBreakPreview" topLeftCell="A4" zoomScale="79" zoomScaleNormal="84" zoomScaleSheetLayoutView="79" workbookViewId="0">
      <selection activeCell="P18" sqref="P18:Q18"/>
    </sheetView>
  </sheetViews>
  <sheetFormatPr defaultRowHeight="15.75" x14ac:dyDescent="0.25"/>
  <cols>
    <col min="1" max="1" width="2.7109375" style="1" customWidth="1"/>
    <col min="2" max="2" width="3.7109375" style="1" bestFit="1" customWidth="1"/>
    <col min="3" max="3" width="39.140625" style="1" customWidth="1"/>
    <col min="4" max="4" width="13.28515625" style="1" customWidth="1"/>
    <col min="5" max="5" width="11.7109375" style="1" customWidth="1"/>
    <col min="6" max="6" width="10.140625" style="1" bestFit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425781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2.140625" style="1" customWidth="1"/>
    <col min="19" max="19" width="10.28515625" style="1" customWidth="1"/>
    <col min="20" max="20" width="14.57031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57</v>
      </c>
    </row>
    <row r="8" spans="2:22" x14ac:dyDescent="0.25">
      <c r="C8" s="1" t="s">
        <v>33</v>
      </c>
      <c r="D8" s="2">
        <v>765.3</v>
      </c>
    </row>
    <row r="9" spans="2:22" x14ac:dyDescent="0.25">
      <c r="C9" s="1" t="s">
        <v>35</v>
      </c>
      <c r="D9" s="3">
        <v>38</v>
      </c>
    </row>
    <row r="10" spans="2:22" x14ac:dyDescent="0.25">
      <c r="C10" s="1" t="s">
        <v>36</v>
      </c>
      <c r="D10" s="3">
        <v>16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90" t="str">
        <f>'1'!P12</f>
        <v xml:space="preserve">Хол. вода </v>
      </c>
      <c r="Q12" s="91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-62358.499999999993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4">
        <v>-13438.9</v>
      </c>
      <c r="G14" s="24"/>
      <c r="H14" s="14">
        <v>-490.4</v>
      </c>
      <c r="I14" s="24"/>
      <c r="J14" s="14">
        <v>-3221.4</v>
      </c>
      <c r="K14" s="24"/>
      <c r="L14" s="14">
        <v>-43237.2</v>
      </c>
      <c r="M14" s="24"/>
      <c r="N14" s="14">
        <v>-880.4</v>
      </c>
      <c r="O14" s="24"/>
      <c r="P14" s="82">
        <v>-553.70000000000005</v>
      </c>
      <c r="Q14" s="83"/>
      <c r="R14" s="82">
        <v>-1932.9</v>
      </c>
      <c r="S14" s="83"/>
      <c r="T14" s="82">
        <v>1396.3</v>
      </c>
      <c r="U14" s="83"/>
      <c r="V14" s="14">
        <f>F14+H14+J14+L14+N14+P14+Q14+R14+S14+T14+U14+0.1</f>
        <v>-62358.499999999993</v>
      </c>
    </row>
    <row r="15" spans="2:22" x14ac:dyDescent="0.25">
      <c r="C15" s="9" t="s">
        <v>3</v>
      </c>
      <c r="D15" s="71"/>
      <c r="E15" s="72"/>
      <c r="F15" s="11">
        <f>11675.4+36109.96+11683.06</f>
        <v>59468.42</v>
      </c>
      <c r="G15" s="7"/>
      <c r="H15" s="14"/>
      <c r="I15" s="7"/>
      <c r="J15" s="14">
        <f>1684.29+8761.18</f>
        <v>10445.470000000001</v>
      </c>
      <c r="K15" s="7"/>
      <c r="L15" s="11">
        <f>29056.6+145370.55</f>
        <v>174427.15</v>
      </c>
      <c r="M15" s="7"/>
      <c r="N15" s="11">
        <f>650+3250</f>
        <v>3900</v>
      </c>
      <c r="O15" s="7"/>
      <c r="P15" s="82">
        <f>894.43+1992.9+3057.83</f>
        <v>5945.16</v>
      </c>
      <c r="Q15" s="83"/>
      <c r="R15" s="82">
        <f>3690.83+10371.2+16010.71</f>
        <v>30072.739999999998</v>
      </c>
      <c r="S15" s="83"/>
      <c r="T15" s="82">
        <f>1275.01+4898.25+732.13+7534.91</f>
        <v>14440.3</v>
      </c>
      <c r="U15" s="83"/>
      <c r="V15" s="11">
        <f>F15+H15+J15+L15+N15+P15+Q15+R15+S15+T15+U15</f>
        <v>298699.24</v>
      </c>
    </row>
    <row r="16" spans="2:22" x14ac:dyDescent="0.25">
      <c r="C16" s="9" t="s">
        <v>4</v>
      </c>
      <c r="D16" s="71"/>
      <c r="E16" s="72"/>
      <c r="F16" s="11">
        <f>42137.77+649.14+2892.53</f>
        <v>45679.439999999995</v>
      </c>
      <c r="G16" s="7"/>
      <c r="H16" s="14">
        <f>468.82+21.6</f>
        <v>490.42</v>
      </c>
      <c r="I16" s="7"/>
      <c r="J16" s="14">
        <f>8999.77+433.66</f>
        <v>9433.43</v>
      </c>
      <c r="K16" s="7"/>
      <c r="L16" s="21">
        <f>137280.77+31098.66-21.6+4952.82</f>
        <v>173310.65</v>
      </c>
      <c r="M16" s="7"/>
      <c r="N16" s="14">
        <f>3025.73+140.43</f>
        <v>3166.16</v>
      </c>
      <c r="O16" s="7"/>
      <c r="P16" s="82">
        <f>2527.38+2797.68+400.73+0.03</f>
        <v>5725.8199999999988</v>
      </c>
      <c r="Q16" s="83"/>
      <c r="R16" s="82">
        <f>13021.61+14359.45+2268.57+0.16</f>
        <v>29649.79</v>
      </c>
      <c r="S16" s="83"/>
      <c r="T16" s="82">
        <f>6150.34+6829.43+18.45+991.1+0.08</f>
        <v>13989.400000000001</v>
      </c>
      <c r="U16" s="83"/>
      <c r="V16" s="12">
        <f t="shared" ref="V16:V17" si="0">F16+H16+J16+L16+N16+P16+Q16+R16+S16+T16+U16</f>
        <v>281445.11000000004</v>
      </c>
    </row>
    <row r="17" spans="2:22" ht="31.5" x14ac:dyDescent="0.25">
      <c r="C17" s="10" t="s">
        <v>5</v>
      </c>
      <c r="D17" s="71"/>
      <c r="E17" s="72"/>
      <c r="F17" s="14">
        <f>P43+P49</f>
        <v>72672.827311710003</v>
      </c>
      <c r="G17" s="7"/>
      <c r="H17" s="11">
        <f>P51</f>
        <v>0</v>
      </c>
      <c r="I17" s="7"/>
      <c r="J17" s="14">
        <f>J15</f>
        <v>10445.470000000001</v>
      </c>
      <c r="K17" s="7"/>
      <c r="L17" s="11">
        <f>D8*L20*6</f>
        <v>174947.58000000002</v>
      </c>
      <c r="M17" s="7"/>
      <c r="N17" s="18">
        <v>3917.3</v>
      </c>
      <c r="O17" s="7"/>
      <c r="P17" s="82">
        <f>P15+Q15</f>
        <v>5945.16</v>
      </c>
      <c r="Q17" s="83"/>
      <c r="R17" s="82">
        <f>R15+S15</f>
        <v>30072.739999999998</v>
      </c>
      <c r="S17" s="83"/>
      <c r="T17" s="82">
        <f>T15+U15+25610.41</f>
        <v>40050.71</v>
      </c>
      <c r="U17" s="72"/>
      <c r="V17" s="12">
        <f t="shared" si="0"/>
        <v>338051.78731171001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-27227.880000000005</v>
      </c>
      <c r="G18" s="32"/>
      <c r="H18" s="31">
        <f>H16-H15+H14</f>
        <v>2.0000000000038654E-2</v>
      </c>
      <c r="I18" s="40"/>
      <c r="J18" s="31">
        <f>J16-J15+J14</f>
        <v>-4233.4400000000005</v>
      </c>
      <c r="K18" s="40"/>
      <c r="L18" s="31">
        <f>L16-L15+L14</f>
        <v>-44353.7</v>
      </c>
      <c r="M18" s="40"/>
      <c r="N18" s="31">
        <f>N16-N15+N14</f>
        <v>-1614.2400000000002</v>
      </c>
      <c r="O18" s="40"/>
      <c r="P18" s="84">
        <f>P16-P15+P14</f>
        <v>-773.0400000000011</v>
      </c>
      <c r="Q18" s="85"/>
      <c r="R18" s="84">
        <f t="shared" ref="R18:V18" si="1">R16-R15+R14</f>
        <v>-2355.8499999999972</v>
      </c>
      <c r="S18" s="85"/>
      <c r="T18" s="84">
        <f t="shared" si="1"/>
        <v>945.40000000000214</v>
      </c>
      <c r="U18" s="85"/>
      <c r="V18" s="31">
        <f t="shared" si="1"/>
        <v>-79612.629999999946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F18+H18+J18+L18+N18+P18+Q18+R18+S18+T18+U18+0.1</f>
        <v>-79612.62999999999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38.1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-26.653107654375013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765.3</v>
      </c>
      <c r="M30" s="56"/>
      <c r="N30" s="56">
        <f>'1'!N30:O30</f>
        <v>5.5</v>
      </c>
      <c r="O30" s="56"/>
      <c r="P30" s="17">
        <f>L30*N30*6</f>
        <v>25254.899999999998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765.3</v>
      </c>
      <c r="M31" s="56"/>
      <c r="N31" s="56">
        <f>'1'!N31:O31</f>
        <v>1</v>
      </c>
      <c r="O31" s="56"/>
      <c r="P31" s="17">
        <f t="shared" ref="P31:P42" si="2">L31*N31*6</f>
        <v>4591.7999999999993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765.3</v>
      </c>
      <c r="M32" s="56"/>
      <c r="N32" s="56">
        <f>'1'!N32:O32</f>
        <v>0.4</v>
      </c>
      <c r="O32" s="56"/>
      <c r="P32" s="17">
        <f t="shared" si="2"/>
        <v>1836.72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765.3</v>
      </c>
      <c r="M33" s="56"/>
      <c r="N33" s="56">
        <f>'1'!N33:O33</f>
        <v>0.6</v>
      </c>
      <c r="O33" s="56"/>
      <c r="P33" s="17">
        <f t="shared" si="2"/>
        <v>2755.08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765.3</v>
      </c>
      <c r="M34" s="56"/>
      <c r="N34" s="56">
        <f>'1'!N34:O34</f>
        <v>1</v>
      </c>
      <c r="O34" s="56"/>
      <c r="P34" s="17">
        <f t="shared" si="2"/>
        <v>4591.7999999999993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765.3</v>
      </c>
      <c r="M35" s="56"/>
      <c r="N35" s="61">
        <f>'1'!N35:O35</f>
        <v>2.4</v>
      </c>
      <c r="O35" s="61"/>
      <c r="P35" s="17">
        <f t="shared" si="2"/>
        <v>11020.32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765.3</v>
      </c>
      <c r="M36" s="56"/>
      <c r="N36" s="56">
        <f>'1'!N36:O36</f>
        <v>1.4198999999999999</v>
      </c>
      <c r="O36" s="56"/>
      <c r="P36" s="17">
        <f t="shared" si="2"/>
        <v>6519.896819999999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765.3</v>
      </c>
      <c r="M37" s="56"/>
      <c r="N37" s="61">
        <f>'1'!N37:O37</f>
        <v>1.2367534499999999</v>
      </c>
      <c r="O37" s="61"/>
      <c r="P37" s="17">
        <f t="shared" si="2"/>
        <v>5678.9244917099995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765.3</v>
      </c>
      <c r="M38" s="56"/>
      <c r="N38" s="61">
        <f>'1'!N38:O38</f>
        <v>0.3</v>
      </c>
      <c r="O38" s="61"/>
      <c r="P38" s="17">
        <f t="shared" si="2"/>
        <v>1377.54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765.3</v>
      </c>
      <c r="M39" s="56"/>
      <c r="N39" s="56">
        <f>'1'!N39:O39</f>
        <v>0.92</v>
      </c>
      <c r="O39" s="56"/>
      <c r="P39" s="17">
        <f t="shared" si="2"/>
        <v>4224.4560000000001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765.3</v>
      </c>
      <c r="M40" s="56"/>
      <c r="N40" s="56">
        <f>'1'!N40:O40</f>
        <v>0.05</v>
      </c>
      <c r="O40" s="56"/>
      <c r="P40" s="17">
        <f t="shared" si="2"/>
        <v>229.59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765.3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765.3</v>
      </c>
      <c r="M42" s="56"/>
      <c r="N42" s="66">
        <f>'1'!N42:O42</f>
        <v>1</v>
      </c>
      <c r="O42" s="66"/>
      <c r="P42" s="17">
        <f t="shared" si="2"/>
        <v>4591.7999999999993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765.3</v>
      </c>
      <c r="M43" s="55"/>
      <c r="N43" s="87">
        <f>SUM(N30:O42)</f>
        <v>15.826653450000002</v>
      </c>
      <c r="O43" s="87"/>
      <c r="P43" s="39">
        <f>SUM(P30:P42)</f>
        <v>72672.827311710003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765.3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765.3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765.3</v>
      </c>
      <c r="M47" s="56"/>
      <c r="N47" s="56"/>
      <c r="O47" s="56"/>
      <c r="P47" s="17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765.3</v>
      </c>
      <c r="M48" s="56"/>
      <c r="N48" s="56"/>
      <c r="O48" s="5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765.3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765.3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V64"/>
  <sheetViews>
    <sheetView view="pageBreakPreview" topLeftCell="A4" zoomScale="79" zoomScaleNormal="84" zoomScaleSheetLayoutView="79" workbookViewId="0">
      <selection activeCell="R26" sqref="R26"/>
    </sheetView>
  </sheetViews>
  <sheetFormatPr defaultRowHeight="15.75" x14ac:dyDescent="0.25"/>
  <cols>
    <col min="1" max="1" width="2" style="1" customWidth="1"/>
    <col min="2" max="2" width="4" style="1" bestFit="1" customWidth="1"/>
    <col min="3" max="3" width="39.7109375" style="1" customWidth="1"/>
    <col min="4" max="4" width="13.28515625" style="1" customWidth="1"/>
    <col min="5" max="5" width="11.7109375" style="1" customWidth="1"/>
    <col min="6" max="6" width="10.7109375" style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140625" style="1" customWidth="1"/>
    <col min="19" max="19" width="10.28515625" style="1" customWidth="1"/>
    <col min="20" max="20" width="14.57031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58</v>
      </c>
    </row>
    <row r="8" spans="2:22" x14ac:dyDescent="0.25">
      <c r="C8" s="1" t="s">
        <v>33</v>
      </c>
      <c r="D8" s="2">
        <v>751</v>
      </c>
    </row>
    <row r="9" spans="2:22" x14ac:dyDescent="0.25">
      <c r="C9" s="1" t="s">
        <v>35</v>
      </c>
      <c r="D9" s="3">
        <v>27</v>
      </c>
    </row>
    <row r="10" spans="2:22" x14ac:dyDescent="0.25">
      <c r="C10" s="1" t="s">
        <v>36</v>
      </c>
      <c r="D10" s="3">
        <v>16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-114318.8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-24754.799999999999</v>
      </c>
      <c r="G14" s="7"/>
      <c r="H14" s="11">
        <v>-4999.5</v>
      </c>
      <c r="I14" s="7"/>
      <c r="J14" s="11">
        <v>-5447.5</v>
      </c>
      <c r="K14" s="7"/>
      <c r="L14" s="11">
        <v>-71260</v>
      </c>
      <c r="M14" s="7"/>
      <c r="N14" s="11">
        <v>-1448.7</v>
      </c>
      <c r="O14" s="7"/>
      <c r="P14" s="71">
        <v>-745.5</v>
      </c>
      <c r="Q14" s="72"/>
      <c r="R14" s="71">
        <v>-3823.1</v>
      </c>
      <c r="S14" s="72"/>
      <c r="T14" s="71">
        <v>-1839.7</v>
      </c>
      <c r="U14" s="72"/>
      <c r="V14" s="14">
        <f>F14+H14+J14+L14+N14+P14+Q14+R14+S14+T14+U14</f>
        <v>-114318.8</v>
      </c>
    </row>
    <row r="15" spans="2:22" x14ac:dyDescent="0.25">
      <c r="C15" s="9" t="s">
        <v>3</v>
      </c>
      <c r="D15" s="71"/>
      <c r="E15" s="72"/>
      <c r="F15" s="11">
        <f>35551.6+11493.22+11502.41</f>
        <v>58547.229999999996</v>
      </c>
      <c r="G15" s="7"/>
      <c r="H15" s="14"/>
      <c r="I15" s="24"/>
      <c r="J15" s="14">
        <f>1374.04+6869.6</f>
        <v>8243.64</v>
      </c>
      <c r="K15" s="7"/>
      <c r="L15" s="11">
        <f>28603.21+143122.65</f>
        <v>171725.86</v>
      </c>
      <c r="M15" s="7"/>
      <c r="N15" s="11">
        <f>750+3750</f>
        <v>4500</v>
      </c>
      <c r="O15" s="7"/>
      <c r="P15" s="82">
        <f>861.31+2391.48+2056.45</f>
        <v>5309.24</v>
      </c>
      <c r="Q15" s="83"/>
      <c r="R15" s="82">
        <f>4097.31+12445.44+13302.45</f>
        <v>29845.200000000001</v>
      </c>
      <c r="S15" s="83"/>
      <c r="T15" s="82">
        <f>1227.82+5877.9+812.76+5514.21</f>
        <v>13432.689999999999</v>
      </c>
      <c r="U15" s="83"/>
      <c r="V15" s="11">
        <f>F15+H15+J15+L15+N15+P15+Q15+R15+S15+T15+U15</f>
        <v>291603.86</v>
      </c>
    </row>
    <row r="16" spans="2:22" x14ac:dyDescent="0.25">
      <c r="C16" s="9" t="s">
        <v>4</v>
      </c>
      <c r="D16" s="71"/>
      <c r="E16" s="72"/>
      <c r="F16" s="11">
        <f>46230.48+1606.02+116.04+2491.1</f>
        <v>50443.64</v>
      </c>
      <c r="G16" s="7"/>
      <c r="H16" s="14">
        <f>1960.38+3039.1</f>
        <v>4999.4799999999996</v>
      </c>
      <c r="I16" s="24"/>
      <c r="J16" s="14">
        <f>7867.11+226.52</f>
        <v>8093.63</v>
      </c>
      <c r="K16" s="7"/>
      <c r="L16" s="11">
        <f>149706.61+46478.15+2582.2</f>
        <v>198766.96</v>
      </c>
      <c r="M16" s="7"/>
      <c r="N16" s="14">
        <f>3807.79+80.74</f>
        <v>3888.5299999999997</v>
      </c>
      <c r="O16" s="7"/>
      <c r="P16" s="82">
        <f>2298.05+2265.11+152.33+55.52</f>
        <v>4771.01</v>
      </c>
      <c r="Q16" s="83"/>
      <c r="R16" s="82">
        <f>11939.91+14205.27+1009.55+228.46</f>
        <v>27383.19</v>
      </c>
      <c r="S16" s="83"/>
      <c r="T16" s="82">
        <f>5653.32+5998.06+123.83+298.32+115.5</f>
        <v>12189.03</v>
      </c>
      <c r="U16" s="83"/>
      <c r="V16" s="12">
        <f t="shared" ref="V16:V17" si="0">F16+H16+J16+L16+N16+P16+Q16+R16+S16+T16+U16</f>
        <v>310535.47000000003</v>
      </c>
    </row>
    <row r="17" spans="2:22" ht="31.5" x14ac:dyDescent="0.25">
      <c r="C17" s="10" t="s">
        <v>5</v>
      </c>
      <c r="D17" s="71"/>
      <c r="E17" s="72"/>
      <c r="F17" s="14">
        <f>P43+P49</f>
        <v>71314.900445700012</v>
      </c>
      <c r="G17" s="7"/>
      <c r="H17" s="11">
        <f>P51</f>
        <v>0</v>
      </c>
      <c r="I17" s="7"/>
      <c r="J17" s="14">
        <f>J15</f>
        <v>8243.64</v>
      </c>
      <c r="K17" s="7"/>
      <c r="L17" s="11">
        <f>D8*L20*6</f>
        <v>171678.6</v>
      </c>
      <c r="M17" s="7"/>
      <c r="N17" s="14">
        <v>3917.3</v>
      </c>
      <c r="O17" s="7"/>
      <c r="P17" s="82">
        <f>P15+Q15</f>
        <v>5309.24</v>
      </c>
      <c r="Q17" s="83"/>
      <c r="R17" s="82">
        <f>R15+S15</f>
        <v>29845.200000000001</v>
      </c>
      <c r="S17" s="83"/>
      <c r="T17" s="82">
        <f>T15+U15+25610.41</f>
        <v>39043.1</v>
      </c>
      <c r="U17" s="72"/>
      <c r="V17" s="12">
        <f t="shared" si="0"/>
        <v>329351.9804457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-32858.39</v>
      </c>
      <c r="G18" s="32"/>
      <c r="H18" s="31">
        <f>H16-H15+H14</f>
        <v>-2.0000000000436557E-2</v>
      </c>
      <c r="I18" s="40"/>
      <c r="J18" s="31">
        <f>J16-J15+J14</f>
        <v>-5597.5099999999993</v>
      </c>
      <c r="K18" s="40"/>
      <c r="L18" s="31">
        <f>L16-L15+L14</f>
        <v>-44218.899999999994</v>
      </c>
      <c r="M18" s="40"/>
      <c r="N18" s="31">
        <f>N16-N15+N14</f>
        <v>-2060.17</v>
      </c>
      <c r="O18" s="40"/>
      <c r="P18" s="84">
        <f t="shared" ref="P18:V18" si="1">P16-P15+P14</f>
        <v>-1283.7299999999996</v>
      </c>
      <c r="Q18" s="85"/>
      <c r="R18" s="84">
        <f t="shared" si="1"/>
        <v>-6285.1100000000024</v>
      </c>
      <c r="S18" s="85"/>
      <c r="T18" s="84">
        <f t="shared" si="1"/>
        <v>-3083.3599999999979</v>
      </c>
      <c r="U18" s="85"/>
      <c r="V18" s="31">
        <f t="shared" si="1"/>
        <v>-95387.189999999959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-95387.19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38.1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-32.711223369951277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751</v>
      </c>
      <c r="M30" s="56"/>
      <c r="N30" s="56">
        <f>'1'!N30:O30</f>
        <v>5.5</v>
      </c>
      <c r="O30" s="56"/>
      <c r="P30" s="17">
        <f>L30*N30*6</f>
        <v>24783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751</v>
      </c>
      <c r="M31" s="56"/>
      <c r="N31" s="56">
        <f>'1'!N31:O31</f>
        <v>1</v>
      </c>
      <c r="O31" s="56"/>
      <c r="P31" s="17">
        <f t="shared" ref="P31:P42" si="2">L31*N31*6</f>
        <v>4506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751</v>
      </c>
      <c r="M32" s="56"/>
      <c r="N32" s="56">
        <f>'1'!N32:O32</f>
        <v>0.4</v>
      </c>
      <c r="O32" s="56"/>
      <c r="P32" s="17">
        <f t="shared" si="2"/>
        <v>1802.4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751</v>
      </c>
      <c r="M33" s="56"/>
      <c r="N33" s="56">
        <f>'1'!N33:O33</f>
        <v>0.6</v>
      </c>
      <c r="O33" s="56"/>
      <c r="P33" s="17">
        <f t="shared" si="2"/>
        <v>2703.6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751</v>
      </c>
      <c r="M34" s="56"/>
      <c r="N34" s="56">
        <f>'1'!N34:O34</f>
        <v>1</v>
      </c>
      <c r="O34" s="56"/>
      <c r="P34" s="17">
        <f t="shared" si="2"/>
        <v>4506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751</v>
      </c>
      <c r="M35" s="56"/>
      <c r="N35" s="61">
        <f>'1'!N35:O35</f>
        <v>2.4</v>
      </c>
      <c r="O35" s="61"/>
      <c r="P35" s="17">
        <f t="shared" si="2"/>
        <v>10814.4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751</v>
      </c>
      <c r="M36" s="56"/>
      <c r="N36" s="56">
        <f>'1'!N36:O36</f>
        <v>1.4198999999999999</v>
      </c>
      <c r="O36" s="56"/>
      <c r="P36" s="17">
        <f t="shared" si="2"/>
        <v>6398.0694000000003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751</v>
      </c>
      <c r="M37" s="56"/>
      <c r="N37" s="61">
        <f>'1'!N37:O37</f>
        <v>1.2367534499999999</v>
      </c>
      <c r="O37" s="61"/>
      <c r="P37" s="17">
        <f t="shared" si="2"/>
        <v>5572.8110456999993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751</v>
      </c>
      <c r="M38" s="56"/>
      <c r="N38" s="61">
        <f>'1'!N38:O38</f>
        <v>0.3</v>
      </c>
      <c r="O38" s="61"/>
      <c r="P38" s="17">
        <f t="shared" si="2"/>
        <v>1351.8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751</v>
      </c>
      <c r="M39" s="56"/>
      <c r="N39" s="56">
        <f>'1'!N39:O39</f>
        <v>0.92</v>
      </c>
      <c r="O39" s="56"/>
      <c r="P39" s="17">
        <f t="shared" si="2"/>
        <v>4145.5200000000004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751</v>
      </c>
      <c r="M40" s="56"/>
      <c r="N40" s="56">
        <f>'1'!N40:O40</f>
        <v>0.05</v>
      </c>
      <c r="O40" s="56"/>
      <c r="P40" s="17">
        <f t="shared" si="2"/>
        <v>225.3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751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751</v>
      </c>
      <c r="M42" s="56"/>
      <c r="N42" s="66">
        <f>'1'!N42:O42</f>
        <v>1</v>
      </c>
      <c r="O42" s="66"/>
      <c r="P42" s="17">
        <f t="shared" si="2"/>
        <v>4506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751</v>
      </c>
      <c r="M43" s="55"/>
      <c r="N43" s="87">
        <f>SUM(N30:O42)</f>
        <v>15.826653450000002</v>
      </c>
      <c r="O43" s="87"/>
      <c r="P43" s="39">
        <f>SUM(P30:P42)</f>
        <v>71314.900445700012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751</v>
      </c>
      <c r="M45" s="56"/>
      <c r="N45" s="56"/>
      <c r="O45" s="56"/>
      <c r="P45" s="4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751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8" t="s">
        <v>92</v>
      </c>
      <c r="D47" s="59"/>
      <c r="E47" s="59"/>
      <c r="F47" s="59"/>
      <c r="G47" s="59"/>
      <c r="H47" s="59"/>
      <c r="I47" s="59"/>
      <c r="J47" s="59"/>
      <c r="K47" s="60"/>
      <c r="L47" s="56">
        <v>751</v>
      </c>
      <c r="M47" s="56"/>
      <c r="N47" s="61"/>
      <c r="O47" s="61"/>
      <c r="P47" s="17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751</v>
      </c>
      <c r="M48" s="56"/>
      <c r="N48" s="61"/>
      <c r="O48" s="61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751</v>
      </c>
      <c r="M49" s="55"/>
      <c r="N49" s="57">
        <f>SUM(N45:O48)</f>
        <v>0</v>
      </c>
      <c r="O49" s="57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751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B1:V64"/>
  <sheetViews>
    <sheetView view="pageBreakPreview" topLeftCell="A7" zoomScale="84" zoomScaleNormal="84" zoomScaleSheetLayoutView="84" workbookViewId="0">
      <selection activeCell="P18" sqref="P18:Q18"/>
    </sheetView>
  </sheetViews>
  <sheetFormatPr defaultRowHeight="15.75" x14ac:dyDescent="0.25"/>
  <cols>
    <col min="1" max="1" width="3" style="1" customWidth="1"/>
    <col min="2" max="2" width="4" style="1" bestFit="1" customWidth="1"/>
    <col min="3" max="3" width="37.42578125" style="1" customWidth="1"/>
    <col min="4" max="4" width="13.28515625" style="1" customWidth="1"/>
    <col min="5" max="5" width="11.7109375" style="1" customWidth="1"/>
    <col min="6" max="6" width="10.140625" style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" style="1" customWidth="1"/>
    <col min="19" max="19" width="10.28515625" style="1" customWidth="1"/>
    <col min="20" max="20" width="14.425781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59</v>
      </c>
    </row>
    <row r="8" spans="2:22" x14ac:dyDescent="0.25">
      <c r="C8" s="1" t="s">
        <v>33</v>
      </c>
      <c r="D8" s="2">
        <v>733.7</v>
      </c>
    </row>
    <row r="9" spans="2:22" x14ac:dyDescent="0.25">
      <c r="C9" s="1" t="s">
        <v>35</v>
      </c>
      <c r="D9" s="3">
        <v>35</v>
      </c>
    </row>
    <row r="10" spans="2:22" x14ac:dyDescent="0.25">
      <c r="C10" s="1" t="s">
        <v>36</v>
      </c>
      <c r="D10" s="3">
        <v>16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-67994.200000000012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-14759</v>
      </c>
      <c r="G14" s="7"/>
      <c r="H14" s="11">
        <v>-1277.9000000000001</v>
      </c>
      <c r="I14" s="7"/>
      <c r="J14" s="11">
        <v>-3058.6</v>
      </c>
      <c r="K14" s="7"/>
      <c r="L14" s="11">
        <v>-47384.1</v>
      </c>
      <c r="M14" s="7"/>
      <c r="N14" s="11">
        <v>-544.6</v>
      </c>
      <c r="O14" s="7"/>
      <c r="P14" s="71">
        <v>-263.3</v>
      </c>
      <c r="Q14" s="72"/>
      <c r="R14" s="71">
        <v>-580.70000000000005</v>
      </c>
      <c r="S14" s="72"/>
      <c r="T14" s="71">
        <v>-126</v>
      </c>
      <c r="U14" s="72"/>
      <c r="V14" s="14">
        <f>F14+H14+J14+L14+N14+P14+Q14+R14+S14+T14+U14</f>
        <v>-67994.200000000012</v>
      </c>
    </row>
    <row r="15" spans="2:22" x14ac:dyDescent="0.25">
      <c r="C15" s="9" t="s">
        <v>3</v>
      </c>
      <c r="D15" s="71"/>
      <c r="E15" s="72"/>
      <c r="F15" s="11">
        <f>35225.04+11396.78+11396.78</f>
        <v>58018.6</v>
      </c>
      <c r="G15" s="7"/>
      <c r="H15" s="14"/>
      <c r="I15" s="7"/>
      <c r="J15" s="14">
        <f>1507.02+7534.4</f>
        <v>9041.42</v>
      </c>
      <c r="K15" s="7"/>
      <c r="L15" s="11">
        <f>28363.14+141808.2</f>
        <v>170171.34000000003</v>
      </c>
      <c r="M15" s="7"/>
      <c r="N15" s="11">
        <f>700+3500</f>
        <v>4200</v>
      </c>
      <c r="O15" s="7"/>
      <c r="P15" s="82">
        <f>454.22+1423.5+4280.43</f>
        <v>6158.1500000000005</v>
      </c>
      <c r="Q15" s="83"/>
      <c r="R15" s="82">
        <f>2285.9+7408+19942.84</f>
        <v>29636.739999999998</v>
      </c>
      <c r="S15" s="83"/>
      <c r="T15" s="82">
        <f>647.5+3498.75+453.44+10057.74</f>
        <v>14657.43</v>
      </c>
      <c r="U15" s="83"/>
      <c r="V15" s="11">
        <f>F15+H15+J15+L15+N15+P15+Q15+R15+S15+T15+U15</f>
        <v>291883.68000000005</v>
      </c>
    </row>
    <row r="16" spans="2:22" x14ac:dyDescent="0.25">
      <c r="C16" s="9" t="s">
        <v>4</v>
      </c>
      <c r="D16" s="71"/>
      <c r="E16" s="72"/>
      <c r="F16" s="11">
        <f>41989.86+2177.05</f>
        <v>44166.91</v>
      </c>
      <c r="G16" s="7"/>
      <c r="H16" s="14">
        <f>941.78+336.1</f>
        <v>1277.8800000000001</v>
      </c>
      <c r="I16" s="7"/>
      <c r="J16" s="14">
        <f>6847.29+305.85</f>
        <v>7153.14</v>
      </c>
      <c r="K16" s="7"/>
      <c r="L16" s="11">
        <f>135145.77+33832.26+3472.45</f>
        <v>172450.48</v>
      </c>
      <c r="M16" s="7"/>
      <c r="N16" s="14">
        <f>3256.95+80.97</f>
        <v>3337.9199999999996</v>
      </c>
      <c r="O16" s="7"/>
      <c r="P16" s="82">
        <f>1087.55+2893.32+371.06</f>
        <v>4351.93</v>
      </c>
      <c r="Q16" s="83"/>
      <c r="R16" s="82">
        <f>5232.55+17332.63+2365.01</f>
        <v>24930.190000000002</v>
      </c>
      <c r="S16" s="83"/>
      <c r="T16" s="82">
        <f>2392.42+7563.46+935.85</f>
        <v>10891.730000000001</v>
      </c>
      <c r="U16" s="83"/>
      <c r="V16" s="18">
        <f t="shared" ref="V16:V17" si="0">F16+H16+J16+L16+N16+P16+Q16+R16+S16+T16+U16</f>
        <v>268560.18</v>
      </c>
    </row>
    <row r="17" spans="2:22" ht="31.5" x14ac:dyDescent="0.25">
      <c r="C17" s="10" t="s">
        <v>5</v>
      </c>
      <c r="D17" s="71"/>
      <c r="E17" s="72"/>
      <c r="F17" s="14">
        <f>P43+P49</f>
        <v>69672.093817590008</v>
      </c>
      <c r="G17" s="7"/>
      <c r="H17" s="11">
        <f>P51</f>
        <v>107150</v>
      </c>
      <c r="I17" s="7"/>
      <c r="J17" s="14">
        <f>J15</f>
        <v>9041.42</v>
      </c>
      <c r="K17" s="7"/>
      <c r="L17" s="11">
        <f>D8*L20*6</f>
        <v>167723.82</v>
      </c>
      <c r="M17" s="7"/>
      <c r="N17" s="14">
        <v>3917.3</v>
      </c>
      <c r="O17" s="7"/>
      <c r="P17" s="82">
        <f>P15+Q15</f>
        <v>6158.1500000000005</v>
      </c>
      <c r="Q17" s="83"/>
      <c r="R17" s="82">
        <f>R15+S15</f>
        <v>29636.739999999998</v>
      </c>
      <c r="S17" s="83"/>
      <c r="T17" s="82">
        <f>T15+U15+25610.41</f>
        <v>40267.839999999997</v>
      </c>
      <c r="U17" s="83"/>
      <c r="V17" s="12">
        <f t="shared" si="0"/>
        <v>433567.36381759006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-28610.689999999995</v>
      </c>
      <c r="G18" s="32"/>
      <c r="H18" s="31">
        <f>H16-H15+H14</f>
        <v>-1.999999999998181E-2</v>
      </c>
      <c r="I18" s="40"/>
      <c r="J18" s="31">
        <f>J16-J15+J14</f>
        <v>-4946.8799999999992</v>
      </c>
      <c r="K18" s="40"/>
      <c r="L18" s="31">
        <f>L16-L15+L14</f>
        <v>-45104.960000000014</v>
      </c>
      <c r="M18" s="40"/>
      <c r="N18" s="31">
        <f>N16-N15+N14</f>
        <v>-1406.6800000000003</v>
      </c>
      <c r="O18" s="40"/>
      <c r="P18" s="84">
        <f t="shared" ref="P18:V18" si="1">P16-P15+P14</f>
        <v>-2069.5200000000004</v>
      </c>
      <c r="Q18" s="85"/>
      <c r="R18" s="84">
        <f t="shared" si="1"/>
        <v>-5287.2499999999955</v>
      </c>
      <c r="S18" s="85"/>
      <c r="T18" s="84">
        <f t="shared" si="1"/>
        <v>-3891.6999999999989</v>
      </c>
      <c r="U18" s="85"/>
      <c r="V18" s="31">
        <f t="shared" si="1"/>
        <v>-91317.70000000007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-91317.700000000012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38.1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-31.285647762149633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733.7</v>
      </c>
      <c r="M30" s="56"/>
      <c r="N30" s="56">
        <f>'1'!N30:O30</f>
        <v>5.5</v>
      </c>
      <c r="O30" s="56"/>
      <c r="P30" s="17">
        <f>L30*N30*6</f>
        <v>24212.100000000002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733.7</v>
      </c>
      <c r="M31" s="56"/>
      <c r="N31" s="56">
        <f>'1'!N31:O31</f>
        <v>1</v>
      </c>
      <c r="O31" s="56"/>
      <c r="P31" s="17">
        <f t="shared" ref="P31:P42" si="2">L31*N31*6</f>
        <v>4402.2000000000007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733.7</v>
      </c>
      <c r="M32" s="56"/>
      <c r="N32" s="56">
        <f>'1'!N32:O32</f>
        <v>0.4</v>
      </c>
      <c r="O32" s="56"/>
      <c r="P32" s="17">
        <f t="shared" si="2"/>
        <v>1760.88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733.7</v>
      </c>
      <c r="M33" s="56"/>
      <c r="N33" s="56">
        <f>'1'!N33:O33</f>
        <v>0.6</v>
      </c>
      <c r="O33" s="56"/>
      <c r="P33" s="17">
        <f t="shared" si="2"/>
        <v>2641.32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733.7</v>
      </c>
      <c r="M34" s="56"/>
      <c r="N34" s="56">
        <f>'1'!N34:O34</f>
        <v>1</v>
      </c>
      <c r="O34" s="56"/>
      <c r="P34" s="17">
        <f t="shared" si="2"/>
        <v>4402.2000000000007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733.7</v>
      </c>
      <c r="M35" s="56"/>
      <c r="N35" s="61">
        <f>'1'!N35:O35</f>
        <v>2.4</v>
      </c>
      <c r="O35" s="61"/>
      <c r="P35" s="17">
        <f t="shared" si="2"/>
        <v>10565.28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733.7</v>
      </c>
      <c r="M36" s="56"/>
      <c r="N36" s="56">
        <f>'1'!N36:O36</f>
        <v>1.4198999999999999</v>
      </c>
      <c r="O36" s="56"/>
      <c r="P36" s="17">
        <f t="shared" si="2"/>
        <v>6250.6837799999994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733.7</v>
      </c>
      <c r="M37" s="56"/>
      <c r="N37" s="61">
        <f>'1'!N37:O37</f>
        <v>1.2367534499999999</v>
      </c>
      <c r="O37" s="61"/>
      <c r="P37" s="17">
        <f t="shared" si="2"/>
        <v>5444.4360375899996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733.7</v>
      </c>
      <c r="M38" s="56"/>
      <c r="N38" s="61">
        <f>'1'!N38:O38</f>
        <v>0.3</v>
      </c>
      <c r="O38" s="61"/>
      <c r="P38" s="17">
        <f t="shared" si="2"/>
        <v>1320.66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733.7</v>
      </c>
      <c r="M39" s="56"/>
      <c r="N39" s="56">
        <f>'1'!N39:O39</f>
        <v>0.92</v>
      </c>
      <c r="O39" s="56"/>
      <c r="P39" s="17">
        <f t="shared" si="2"/>
        <v>4050.0240000000003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733.7</v>
      </c>
      <c r="M40" s="56"/>
      <c r="N40" s="56">
        <f>'1'!N40:O40</f>
        <v>0.05</v>
      </c>
      <c r="O40" s="56"/>
      <c r="P40" s="17">
        <f t="shared" si="2"/>
        <v>220.11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733.7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733.7</v>
      </c>
      <c r="M42" s="56"/>
      <c r="N42" s="66">
        <f>'1'!N42:O42</f>
        <v>1</v>
      </c>
      <c r="O42" s="66"/>
      <c r="P42" s="17">
        <f t="shared" si="2"/>
        <v>4402.2000000000007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733.7</v>
      </c>
      <c r="M43" s="55"/>
      <c r="N43" s="87">
        <f>SUM(N30:O42)</f>
        <v>15.826653450000002</v>
      </c>
      <c r="O43" s="87"/>
      <c r="P43" s="39">
        <f>SUM(P30:P42)</f>
        <v>69672.093817590008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733.7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733.7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6" t="s">
        <v>93</v>
      </c>
      <c r="D47" s="56"/>
      <c r="E47" s="56"/>
      <c r="F47" s="56"/>
      <c r="G47" s="56"/>
      <c r="H47" s="56"/>
      <c r="I47" s="56"/>
      <c r="J47" s="56"/>
      <c r="K47" s="56"/>
      <c r="L47" s="56">
        <v>733.7</v>
      </c>
      <c r="M47" s="56"/>
      <c r="N47" s="66"/>
      <c r="O47" s="66"/>
      <c r="P47" s="17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733.7</v>
      </c>
      <c r="M48" s="56"/>
      <c r="N48" s="66"/>
      <c r="O48" s="6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733.7</v>
      </c>
      <c r="M49" s="55"/>
      <c r="N49" s="87">
        <f>SUM(N45:O48)</f>
        <v>0</v>
      </c>
      <c r="O49" s="87"/>
      <c r="P49" s="39">
        <f>SUM(P45:P48)</f>
        <v>0</v>
      </c>
    </row>
    <row r="50" spans="2:16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733.7</v>
      </c>
      <c r="M51" s="55"/>
      <c r="N51" s="55">
        <v>0</v>
      </c>
      <c r="O51" s="55"/>
      <c r="P51" s="38">
        <v>107150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B1:V64"/>
  <sheetViews>
    <sheetView view="pageBreakPreview" topLeftCell="A4" zoomScale="80" zoomScaleNormal="84" zoomScaleSheetLayoutView="80" workbookViewId="0">
      <selection activeCell="P18" sqref="P18:Q18"/>
    </sheetView>
  </sheetViews>
  <sheetFormatPr defaultRowHeight="15.75" x14ac:dyDescent="0.25"/>
  <cols>
    <col min="1" max="1" width="2.85546875" style="1" customWidth="1"/>
    <col min="2" max="2" width="4" style="1" bestFit="1" customWidth="1"/>
    <col min="3" max="3" width="39.5703125" style="1" customWidth="1"/>
    <col min="4" max="4" width="13.28515625" style="1" customWidth="1"/>
    <col min="5" max="5" width="11.7109375" style="1" customWidth="1"/>
    <col min="6" max="6" width="9.140625" style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2.140625" style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140625" style="1" customWidth="1"/>
    <col min="19" max="19" width="10.28515625" style="1" customWidth="1"/>
    <col min="20" max="20" width="14.710937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60</v>
      </c>
    </row>
    <row r="8" spans="2:22" x14ac:dyDescent="0.25">
      <c r="C8" s="1" t="s">
        <v>33</v>
      </c>
      <c r="D8" s="2">
        <v>923.74</v>
      </c>
    </row>
    <row r="9" spans="2:22" x14ac:dyDescent="0.25">
      <c r="C9" s="1" t="s">
        <v>35</v>
      </c>
      <c r="D9" s="3">
        <v>30</v>
      </c>
    </row>
    <row r="10" spans="2:22" x14ac:dyDescent="0.25">
      <c r="C10" s="1" t="s">
        <v>36</v>
      </c>
      <c r="D10" s="3">
        <v>19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-353646.5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-59838</v>
      </c>
      <c r="G14" s="7"/>
      <c r="H14" s="11">
        <v>-13495.3</v>
      </c>
      <c r="I14" s="7"/>
      <c r="J14" s="11">
        <v>-10927.2</v>
      </c>
      <c r="K14" s="7"/>
      <c r="L14" s="11">
        <v>-175909.8</v>
      </c>
      <c r="M14" s="7"/>
      <c r="N14" s="11">
        <v>-3728</v>
      </c>
      <c r="O14" s="7"/>
      <c r="P14" s="71">
        <v>-9870</v>
      </c>
      <c r="Q14" s="72"/>
      <c r="R14" s="71">
        <v>-54493.3</v>
      </c>
      <c r="S14" s="72"/>
      <c r="T14" s="71">
        <v>-25384.9</v>
      </c>
      <c r="U14" s="72"/>
      <c r="V14" s="14">
        <f>F14+H14+J14+L14+N14+P14+Q14+R14+S14+T14+U14</f>
        <v>-353646.5</v>
      </c>
    </row>
    <row r="15" spans="2:22" x14ac:dyDescent="0.25">
      <c r="C15" s="9" t="s">
        <v>3</v>
      </c>
      <c r="D15" s="71"/>
      <c r="E15" s="72"/>
      <c r="F15" s="11">
        <f>14130.21+54592</f>
        <v>68722.209999999992</v>
      </c>
      <c r="G15" s="7"/>
      <c r="H15" s="14"/>
      <c r="I15" s="7"/>
      <c r="J15" s="14">
        <f>1595.65+8063.14</f>
        <v>9658.7900000000009</v>
      </c>
      <c r="K15" s="7"/>
      <c r="L15" s="11">
        <f>34941.66+174712.5</f>
        <v>209654.16</v>
      </c>
      <c r="M15" s="7"/>
      <c r="N15" s="11">
        <f>850+4250</f>
        <v>5100</v>
      </c>
      <c r="O15" s="7"/>
      <c r="P15" s="82">
        <f>1036.06+3416.4+2447.22</f>
        <v>6899.68</v>
      </c>
      <c r="Q15" s="83"/>
      <c r="R15" s="82">
        <f>6241.54+17779.2+13872.51</f>
        <v>37893.25</v>
      </c>
      <c r="S15" s="83"/>
      <c r="T15" s="82">
        <f>1476.93+8397+1238.1+6240.46</f>
        <v>17352.490000000002</v>
      </c>
      <c r="U15" s="83"/>
      <c r="V15" s="14">
        <f>F15+H15+J15+L15+N15+P15+Q15+R15+S15+T15+U15</f>
        <v>355280.58</v>
      </c>
    </row>
    <row r="16" spans="2:22" x14ac:dyDescent="0.25">
      <c r="C16" s="9" t="s">
        <v>4</v>
      </c>
      <c r="D16" s="71"/>
      <c r="E16" s="72"/>
      <c r="F16" s="11">
        <f>54432.72+2106.61+888.71</f>
        <v>57428.04</v>
      </c>
      <c r="G16" s="7"/>
      <c r="H16" s="14">
        <f>2463.63+11031.7</f>
        <v>13495.330000000002</v>
      </c>
      <c r="I16" s="7"/>
      <c r="J16" s="14">
        <f>8677.55+517.11</f>
        <v>9194.66</v>
      </c>
      <c r="K16" s="7"/>
      <c r="L16" s="11">
        <f>171585.53+36044.33+8808.34</f>
        <v>216438.19999999998</v>
      </c>
      <c r="M16" s="7"/>
      <c r="N16" s="14">
        <f>4319.92+222.92</f>
        <v>4542.84</v>
      </c>
      <c r="O16" s="7"/>
      <c r="P16" s="82">
        <f>3661.95+2430.2+284.76+27.91</f>
        <v>6404.82</v>
      </c>
      <c r="Q16" s="83"/>
      <c r="R16" s="82">
        <f>18751.67+13993.44+1821.92+73.65</f>
        <v>34640.68</v>
      </c>
      <c r="S16" s="83"/>
      <c r="T16" s="82">
        <f>8787.99+6239.88+55.98+798.77+43.65</f>
        <v>15926.269999999999</v>
      </c>
      <c r="U16" s="83"/>
      <c r="V16" s="12">
        <f t="shared" ref="V16:V17" si="0">F16+H16+J16+L16+N16+P16+Q16+R16+S16+T16+U16</f>
        <v>358070.84</v>
      </c>
    </row>
    <row r="17" spans="2:22" ht="31.5" x14ac:dyDescent="0.25">
      <c r="C17" s="10" t="s">
        <v>5</v>
      </c>
      <c r="D17" s="71"/>
      <c r="E17" s="72"/>
      <c r="F17" s="14">
        <f>P43+P49</f>
        <v>87718.277147418019</v>
      </c>
      <c r="G17" s="7"/>
      <c r="H17" s="11">
        <f>P51</f>
        <v>0</v>
      </c>
      <c r="I17" s="7"/>
      <c r="J17" s="14">
        <f>J15</f>
        <v>9658.7900000000009</v>
      </c>
      <c r="K17" s="7"/>
      <c r="L17" s="11">
        <f>D8*L20*6</f>
        <v>209836.77840000001</v>
      </c>
      <c r="M17" s="7"/>
      <c r="N17" s="14">
        <v>3917.3</v>
      </c>
      <c r="O17" s="7"/>
      <c r="P17" s="82">
        <f>P15+Q15</f>
        <v>6899.68</v>
      </c>
      <c r="Q17" s="83"/>
      <c r="R17" s="82">
        <f>R15+S15</f>
        <v>37893.25</v>
      </c>
      <c r="S17" s="83"/>
      <c r="T17" s="82">
        <f>T15+U15+25610.41</f>
        <v>42962.9</v>
      </c>
      <c r="U17" s="83"/>
      <c r="V17" s="12">
        <f t="shared" si="0"/>
        <v>398886.975547418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-71132.169999999984</v>
      </c>
      <c r="G18" s="32"/>
      <c r="H18" s="31">
        <f>H16-H15+H14</f>
        <v>3.0000000002473826E-2</v>
      </c>
      <c r="I18" s="40"/>
      <c r="J18" s="31">
        <f>J16-J15+J14</f>
        <v>-11391.330000000002</v>
      </c>
      <c r="K18" s="40"/>
      <c r="L18" s="31">
        <f>L16-L15+L14</f>
        <v>-169125.76000000001</v>
      </c>
      <c r="M18" s="40"/>
      <c r="N18" s="31">
        <f>N16-N15+N14</f>
        <v>-4285.16</v>
      </c>
      <c r="O18" s="40"/>
      <c r="P18" s="84">
        <f t="shared" ref="P18:V18" si="1">P16-P15+P14</f>
        <v>-10364.86</v>
      </c>
      <c r="Q18" s="85"/>
      <c r="R18" s="84">
        <f t="shared" si="1"/>
        <v>-57745.87</v>
      </c>
      <c r="S18" s="85"/>
      <c r="T18" s="84">
        <f t="shared" si="1"/>
        <v>-26811.120000000003</v>
      </c>
      <c r="U18" s="85"/>
      <c r="V18" s="31">
        <f t="shared" si="1"/>
        <v>-350856.24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-350856.24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37.86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-98.75469129216124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923.74</v>
      </c>
      <c r="M30" s="56"/>
      <c r="N30" s="56">
        <f>'1'!N30:O30</f>
        <v>5.5</v>
      </c>
      <c r="O30" s="56"/>
      <c r="P30" s="17">
        <f>L30*N30*6</f>
        <v>30483.42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923.74</v>
      </c>
      <c r="M31" s="56"/>
      <c r="N31" s="56">
        <f>'1'!N31:O31</f>
        <v>1</v>
      </c>
      <c r="O31" s="56"/>
      <c r="P31" s="17">
        <f t="shared" ref="P31:P42" si="2">L31*N31*6</f>
        <v>5542.4400000000005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923.74</v>
      </c>
      <c r="M32" s="56"/>
      <c r="N32" s="56">
        <f>'1'!N32:O32</f>
        <v>0.4</v>
      </c>
      <c r="O32" s="56"/>
      <c r="P32" s="17">
        <f t="shared" si="2"/>
        <v>2216.9760000000001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923.74</v>
      </c>
      <c r="M33" s="56"/>
      <c r="N33" s="56">
        <f>'1'!N33:O33</f>
        <v>0.6</v>
      </c>
      <c r="O33" s="56"/>
      <c r="P33" s="17">
        <f t="shared" si="2"/>
        <v>3325.4639999999999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923.74</v>
      </c>
      <c r="M34" s="56"/>
      <c r="N34" s="56">
        <f>'1'!N34:O34</f>
        <v>1</v>
      </c>
      <c r="O34" s="56"/>
      <c r="P34" s="17">
        <f t="shared" si="2"/>
        <v>5542.4400000000005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923.74</v>
      </c>
      <c r="M35" s="56"/>
      <c r="N35" s="61">
        <f>'1'!N35:O35</f>
        <v>2.4</v>
      </c>
      <c r="O35" s="61"/>
      <c r="P35" s="17">
        <f t="shared" si="2"/>
        <v>13301.856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923.74</v>
      </c>
      <c r="M36" s="56"/>
      <c r="N36" s="56">
        <f>'1'!N36:O36</f>
        <v>1.4198999999999999</v>
      </c>
      <c r="O36" s="56"/>
      <c r="P36" s="17">
        <f t="shared" si="2"/>
        <v>7869.710556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923.74</v>
      </c>
      <c r="M37" s="56"/>
      <c r="N37" s="61">
        <f>'1'!N37:O37</f>
        <v>1.2367534499999999</v>
      </c>
      <c r="O37" s="61"/>
      <c r="P37" s="17">
        <f t="shared" si="2"/>
        <v>6854.6317914179999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923.74</v>
      </c>
      <c r="M38" s="56"/>
      <c r="N38" s="61">
        <f>'1'!N38:O38</f>
        <v>0.3</v>
      </c>
      <c r="O38" s="61"/>
      <c r="P38" s="17">
        <f t="shared" si="2"/>
        <v>1662.732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923.74</v>
      </c>
      <c r="M39" s="56"/>
      <c r="N39" s="56">
        <f>'1'!N39:O39</f>
        <v>0.92</v>
      </c>
      <c r="O39" s="56"/>
      <c r="P39" s="17">
        <f t="shared" si="2"/>
        <v>5099.0448000000006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923.74</v>
      </c>
      <c r="M40" s="56"/>
      <c r="N40" s="56">
        <f>'1'!N40:O40</f>
        <v>0.05</v>
      </c>
      <c r="O40" s="56"/>
      <c r="P40" s="17">
        <f t="shared" si="2"/>
        <v>277.12200000000001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923.74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923.74</v>
      </c>
      <c r="M42" s="56"/>
      <c r="N42" s="66">
        <f>'1'!N42:O42</f>
        <v>1</v>
      </c>
      <c r="O42" s="66"/>
      <c r="P42" s="17">
        <f t="shared" si="2"/>
        <v>5542.4400000000005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923.74</v>
      </c>
      <c r="M43" s="55"/>
      <c r="N43" s="87">
        <f>SUM(N30:O42)</f>
        <v>15.826653450000002</v>
      </c>
      <c r="O43" s="87"/>
      <c r="P43" s="39">
        <f>SUM(P30:P42)</f>
        <v>87718.277147418019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923.74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923.74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923.74</v>
      </c>
      <c r="M47" s="56"/>
      <c r="N47" s="56"/>
      <c r="O47" s="56"/>
      <c r="P47" s="4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923.74</v>
      </c>
      <c r="M48" s="56"/>
      <c r="N48" s="56"/>
      <c r="O48" s="56"/>
      <c r="P48" s="4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923.74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923.74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101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B1:V64"/>
  <sheetViews>
    <sheetView view="pageBreakPreview" topLeftCell="A4" zoomScale="77" zoomScaleNormal="84" zoomScaleSheetLayoutView="77" workbookViewId="0">
      <selection activeCell="J17" sqref="J17"/>
    </sheetView>
  </sheetViews>
  <sheetFormatPr defaultRowHeight="15.75" x14ac:dyDescent="0.25"/>
  <cols>
    <col min="1" max="1" width="3.140625" style="1" customWidth="1"/>
    <col min="2" max="2" width="4" style="1" bestFit="1" customWidth="1"/>
    <col min="3" max="3" width="39.42578125" style="1" customWidth="1"/>
    <col min="4" max="4" width="13.28515625" style="1" customWidth="1"/>
    <col min="5" max="5" width="11.7109375" style="1" customWidth="1"/>
    <col min="6" max="6" width="9.140625" style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" style="1" customWidth="1"/>
    <col min="19" max="19" width="10.28515625" style="1" customWidth="1"/>
    <col min="20" max="20" width="14.1406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61</v>
      </c>
    </row>
    <row r="8" spans="2:22" x14ac:dyDescent="0.25">
      <c r="C8" s="1" t="s">
        <v>33</v>
      </c>
      <c r="D8" s="2">
        <v>916.5</v>
      </c>
    </row>
    <row r="9" spans="2:22" x14ac:dyDescent="0.25">
      <c r="C9" s="1" t="s">
        <v>35</v>
      </c>
      <c r="D9" s="3">
        <v>41</v>
      </c>
    </row>
    <row r="10" spans="2:22" x14ac:dyDescent="0.25">
      <c r="C10" s="1" t="s">
        <v>36</v>
      </c>
      <c r="D10" s="3">
        <v>19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-140902.70000000001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-28917.7</v>
      </c>
      <c r="G14" s="7"/>
      <c r="H14" s="11">
        <v>-5733</v>
      </c>
      <c r="I14" s="7"/>
      <c r="J14" s="11">
        <v>-4903.3</v>
      </c>
      <c r="K14" s="7"/>
      <c r="L14" s="11">
        <v>-89642.5</v>
      </c>
      <c r="M14" s="7"/>
      <c r="N14" s="11">
        <v>-1072.5</v>
      </c>
      <c r="O14" s="7"/>
      <c r="P14" s="71">
        <v>-1392.7</v>
      </c>
      <c r="Q14" s="72"/>
      <c r="R14" s="71">
        <v>-6109.3</v>
      </c>
      <c r="S14" s="72"/>
      <c r="T14" s="71">
        <v>-3131.7</v>
      </c>
      <c r="U14" s="72"/>
      <c r="V14" s="14">
        <f>F14+H14+J14+L14+N14+P14+Q14+R14+S14+T14+U14</f>
        <v>-140902.70000000001</v>
      </c>
    </row>
    <row r="15" spans="2:22" x14ac:dyDescent="0.25">
      <c r="C15" s="9" t="s">
        <v>3</v>
      </c>
      <c r="D15" s="71"/>
      <c r="E15" s="72"/>
      <c r="F15" s="11">
        <f>34906.09+43629.08+14115.84</f>
        <v>92651.01</v>
      </c>
      <c r="G15" s="7"/>
      <c r="H15" s="14"/>
      <c r="I15" s="7"/>
      <c r="J15" s="14">
        <f>1551.32+7711.68</f>
        <v>9263</v>
      </c>
      <c r="K15" s="7"/>
      <c r="L15" s="11">
        <f>114115.84+74534.6</f>
        <v>188650.44</v>
      </c>
      <c r="M15" s="7"/>
      <c r="N15" s="11">
        <f>600+3000+58.8</f>
        <v>3658.8</v>
      </c>
      <c r="O15" s="7"/>
      <c r="P15" s="82">
        <f>1620.27+2676.18+2879.8</f>
        <v>7176.25</v>
      </c>
      <c r="Q15" s="83"/>
      <c r="R15" s="82">
        <f>11967.58+13927.04+18249.58</f>
        <v>44144.200000000004</v>
      </c>
      <c r="S15" s="83"/>
      <c r="T15" s="82">
        <f>2309.73+6577.65+2373.93+7743.9</f>
        <v>19005.21</v>
      </c>
      <c r="U15" s="83"/>
      <c r="V15" s="11">
        <f>F15+H15+J15+L15+N15+P15+Q15+R15+S15+T15+U15</f>
        <v>364548.91000000003</v>
      </c>
    </row>
    <row r="16" spans="2:22" x14ac:dyDescent="0.25">
      <c r="C16" s="9" t="s">
        <v>4</v>
      </c>
      <c r="D16" s="71"/>
      <c r="E16" s="72"/>
      <c r="F16" s="11">
        <f>49499.44+1416.18+14309.56+6351.41+3461.48</f>
        <v>75038.069999999992</v>
      </c>
      <c r="G16" s="7"/>
      <c r="H16" s="14">
        <f>1149.79+4583.2</f>
        <v>5732.99</v>
      </c>
      <c r="I16" s="7"/>
      <c r="J16" s="14">
        <f>7290.4+422.42</f>
        <v>7712.82</v>
      </c>
      <c r="K16" s="7"/>
      <c r="L16" s="11">
        <f>160845.1+17447.8</f>
        <v>178292.9</v>
      </c>
      <c r="M16" s="7"/>
      <c r="N16" s="14">
        <f>2704.2</f>
        <v>2704.2</v>
      </c>
      <c r="O16" s="7"/>
      <c r="P16" s="82">
        <f>2332.54+2917.1+287.16+8.11</f>
        <v>5544.9099999999989</v>
      </c>
      <c r="Q16" s="83"/>
      <c r="R16" s="82">
        <f>11694.04+18858.77+554.66+24.45</f>
        <v>31131.920000000002</v>
      </c>
      <c r="S16" s="83"/>
      <c r="T16" s="82">
        <f>5609.05+7914.93+54.14+339.97+13.77</f>
        <v>13931.859999999999</v>
      </c>
      <c r="U16" s="83"/>
      <c r="V16" s="12">
        <f t="shared" ref="V16:V17" si="0">F16+H16+J16+L16+N16+P16+Q16+R16+S16+T16+U16</f>
        <v>320089.67</v>
      </c>
    </row>
    <row r="17" spans="2:22" ht="31.5" x14ac:dyDescent="0.25">
      <c r="C17" s="10" t="s">
        <v>5</v>
      </c>
      <c r="D17" s="71"/>
      <c r="E17" s="72"/>
      <c r="F17" s="14">
        <f>P43+P49</f>
        <v>87030.767321549996</v>
      </c>
      <c r="G17" s="7"/>
      <c r="H17" s="11">
        <f>P51</f>
        <v>107150</v>
      </c>
      <c r="I17" s="7"/>
      <c r="J17" s="14">
        <f>J15</f>
        <v>9263</v>
      </c>
      <c r="K17" s="7"/>
      <c r="L17" s="11">
        <f>D8*L20*6</f>
        <v>208192.14</v>
      </c>
      <c r="M17" s="7"/>
      <c r="N17" s="14">
        <v>3917.3</v>
      </c>
      <c r="O17" s="7"/>
      <c r="P17" s="82">
        <f>P15+Q15</f>
        <v>7176.25</v>
      </c>
      <c r="Q17" s="83"/>
      <c r="R17" s="82">
        <f>R15+S15</f>
        <v>44144.200000000004</v>
      </c>
      <c r="S17" s="83"/>
      <c r="T17" s="82">
        <f>T15+U15+25610.41</f>
        <v>44615.619999999995</v>
      </c>
      <c r="U17" s="83"/>
      <c r="V17" s="12">
        <f t="shared" si="0"/>
        <v>511489.27732155001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-46530.64</v>
      </c>
      <c r="G18" s="40"/>
      <c r="H18" s="31">
        <f>H16-H15+H14</f>
        <v>-1.0000000000218279E-2</v>
      </c>
      <c r="I18" s="40"/>
      <c r="J18" s="31">
        <f>J16-J15+J14</f>
        <v>-6453.4800000000005</v>
      </c>
      <c r="K18" s="40"/>
      <c r="L18" s="31">
        <f>L16-L15+L14</f>
        <v>-100000.04000000001</v>
      </c>
      <c r="M18" s="40"/>
      <c r="N18" s="31">
        <f>N16-N15+N14</f>
        <v>-2027.1000000000004</v>
      </c>
      <c r="O18" s="40"/>
      <c r="P18" s="84">
        <f t="shared" ref="P18:V18" si="1">P16-P15+P14</f>
        <v>-3024.0400000000009</v>
      </c>
      <c r="Q18" s="85"/>
      <c r="R18" s="84">
        <f t="shared" si="1"/>
        <v>-19121.580000000002</v>
      </c>
      <c r="S18" s="85"/>
      <c r="T18" s="84">
        <f t="shared" si="1"/>
        <v>-8205.0499999999993</v>
      </c>
      <c r="U18" s="85"/>
      <c r="V18" s="31">
        <f t="shared" si="1"/>
        <v>-185361.94000000006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F18+H18+J18+L18+N18+P18+Q18+S18+T18+U18+R18</f>
        <v>-185361.94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37.86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-50.846932994532878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916.5</v>
      </c>
      <c r="M30" s="56"/>
      <c r="N30" s="56">
        <f>'1'!N30:O30</f>
        <v>5.5</v>
      </c>
      <c r="O30" s="56"/>
      <c r="P30" s="17">
        <f>L30*N30*6</f>
        <v>30244.5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916.5</v>
      </c>
      <c r="M31" s="56"/>
      <c r="N31" s="56">
        <f>'1'!N31:O31</f>
        <v>1</v>
      </c>
      <c r="O31" s="56"/>
      <c r="P31" s="17">
        <f t="shared" ref="P31:P42" si="2">L31*N31*6</f>
        <v>5499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916.5</v>
      </c>
      <c r="M32" s="56"/>
      <c r="N32" s="56">
        <f>'1'!N32:O32</f>
        <v>0.4</v>
      </c>
      <c r="O32" s="56"/>
      <c r="P32" s="17">
        <f t="shared" si="2"/>
        <v>2199.6000000000004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916.5</v>
      </c>
      <c r="M33" s="56"/>
      <c r="N33" s="56">
        <f>'1'!N33:O33</f>
        <v>0.6</v>
      </c>
      <c r="O33" s="56"/>
      <c r="P33" s="17">
        <f t="shared" si="2"/>
        <v>3299.3999999999996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916.5</v>
      </c>
      <c r="M34" s="56"/>
      <c r="N34" s="56">
        <f>'1'!N34:O34</f>
        <v>1</v>
      </c>
      <c r="O34" s="56"/>
      <c r="P34" s="17">
        <f t="shared" si="2"/>
        <v>5499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916.5</v>
      </c>
      <c r="M35" s="56"/>
      <c r="N35" s="61">
        <f>'1'!N35:O35</f>
        <v>2.4</v>
      </c>
      <c r="O35" s="61"/>
      <c r="P35" s="17">
        <f t="shared" si="2"/>
        <v>13197.599999999999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916.5</v>
      </c>
      <c r="M36" s="56"/>
      <c r="N36" s="56">
        <f>'1'!N36:O36</f>
        <v>1.4198999999999999</v>
      </c>
      <c r="O36" s="56"/>
      <c r="P36" s="17">
        <f t="shared" si="2"/>
        <v>7808.0300999999999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916.5</v>
      </c>
      <c r="M37" s="56"/>
      <c r="N37" s="61">
        <f>'1'!N37:O37</f>
        <v>1.2367534499999999</v>
      </c>
      <c r="O37" s="61"/>
      <c r="P37" s="17">
        <f t="shared" si="2"/>
        <v>6800.90722155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916.5</v>
      </c>
      <c r="M38" s="56"/>
      <c r="N38" s="61">
        <f>'1'!N38:O38</f>
        <v>0.3</v>
      </c>
      <c r="O38" s="61"/>
      <c r="P38" s="17">
        <f t="shared" si="2"/>
        <v>1649.6999999999998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916.5</v>
      </c>
      <c r="M39" s="56"/>
      <c r="N39" s="56">
        <f>'1'!N39:O39</f>
        <v>0.92</v>
      </c>
      <c r="O39" s="56"/>
      <c r="P39" s="17">
        <f t="shared" si="2"/>
        <v>5059.08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916.5</v>
      </c>
      <c r="M40" s="56"/>
      <c r="N40" s="56">
        <f>'1'!N40:O40</f>
        <v>0.05</v>
      </c>
      <c r="O40" s="56"/>
      <c r="P40" s="17">
        <f t="shared" si="2"/>
        <v>274.95000000000005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916.5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916.5</v>
      </c>
      <c r="M42" s="56"/>
      <c r="N42" s="66">
        <f>'1'!N42:O42</f>
        <v>1</v>
      </c>
      <c r="O42" s="66"/>
      <c r="P42" s="17">
        <f t="shared" si="2"/>
        <v>5499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916.5</v>
      </c>
      <c r="M43" s="55"/>
      <c r="N43" s="87">
        <f>SUM(N30:O42)</f>
        <v>15.826653450000002</v>
      </c>
      <c r="O43" s="87"/>
      <c r="P43" s="39">
        <f>SUM(P30:P42)</f>
        <v>87030.767321549996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916.5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916.5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916.5</v>
      </c>
      <c r="M47" s="56"/>
      <c r="N47" s="56"/>
      <c r="O47" s="56"/>
      <c r="P47" s="17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916.5</v>
      </c>
      <c r="M48" s="56"/>
      <c r="N48" s="56"/>
      <c r="O48" s="5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916.5</v>
      </c>
      <c r="M49" s="55"/>
      <c r="N49" s="55">
        <f>SUM(N45:O48)</f>
        <v>0</v>
      </c>
      <c r="O49" s="55"/>
      <c r="P49" s="39">
        <f>SUM(P45:P48)</f>
        <v>0</v>
      </c>
    </row>
    <row r="50" spans="2:16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916.5</v>
      </c>
      <c r="M51" s="55"/>
      <c r="N51" s="55">
        <v>0</v>
      </c>
      <c r="O51" s="55"/>
      <c r="P51" s="38">
        <v>107150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B1:V65"/>
  <sheetViews>
    <sheetView view="pageBreakPreview" topLeftCell="A7" zoomScale="84" zoomScaleNormal="84" zoomScaleSheetLayoutView="84" workbookViewId="0">
      <selection activeCell="P18" sqref="P18:Q18"/>
    </sheetView>
  </sheetViews>
  <sheetFormatPr defaultRowHeight="15.75" x14ac:dyDescent="0.25"/>
  <cols>
    <col min="1" max="1" width="2.85546875" style="1" customWidth="1"/>
    <col min="2" max="2" width="4" style="1" bestFit="1" customWidth="1"/>
    <col min="3" max="3" width="37.28515625" style="1" customWidth="1"/>
    <col min="4" max="4" width="13.28515625" style="1" customWidth="1"/>
    <col min="5" max="5" width="11.7109375" style="1" customWidth="1"/>
    <col min="6" max="6" width="9.140625" style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0.85546875" style="1" customWidth="1"/>
    <col min="19" max="19" width="10.28515625" style="1" customWidth="1"/>
    <col min="20" max="20" width="14.425781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62</v>
      </c>
    </row>
    <row r="8" spans="2:22" x14ac:dyDescent="0.25">
      <c r="C8" s="1" t="s">
        <v>33</v>
      </c>
      <c r="D8" s="2">
        <v>917.4</v>
      </c>
    </row>
    <row r="9" spans="2:22" x14ac:dyDescent="0.25">
      <c r="C9" s="1" t="s">
        <v>35</v>
      </c>
      <c r="D9" s="3">
        <v>40</v>
      </c>
    </row>
    <row r="10" spans="2:22" x14ac:dyDescent="0.25">
      <c r="C10" s="1" t="s">
        <v>36</v>
      </c>
      <c r="D10" s="3">
        <v>20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-186344.4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-35712.9</v>
      </c>
      <c r="G14" s="7"/>
      <c r="H14" s="11">
        <v>-7357.4</v>
      </c>
      <c r="I14" s="7"/>
      <c r="J14" s="11">
        <v>-4473.6000000000004</v>
      </c>
      <c r="K14" s="7"/>
      <c r="L14" s="11">
        <v>-105388.9</v>
      </c>
      <c r="M14" s="7"/>
      <c r="N14" s="11">
        <v>-2402.5</v>
      </c>
      <c r="O14" s="7"/>
      <c r="P14" s="71">
        <v>-3895.6</v>
      </c>
      <c r="Q14" s="72"/>
      <c r="R14" s="82">
        <v>-17896.900000000001</v>
      </c>
      <c r="S14" s="83"/>
      <c r="T14" s="82">
        <v>-9216.6</v>
      </c>
      <c r="U14" s="83"/>
      <c r="V14" s="14">
        <f>F14+H14+J14+L14+N14+P14+Q14+R14+S14+T14+U14</f>
        <v>-186344.4</v>
      </c>
    </row>
    <row r="15" spans="2:22" x14ac:dyDescent="0.25">
      <c r="C15" s="9" t="s">
        <v>3</v>
      </c>
      <c r="D15" s="71"/>
      <c r="E15" s="72"/>
      <c r="F15" s="11">
        <f>14126.57+54577.85</f>
        <v>68704.42</v>
      </c>
      <c r="G15" s="7"/>
      <c r="H15" s="14"/>
      <c r="I15" s="7"/>
      <c r="J15" s="14">
        <f>1639.97+8199.2</f>
        <v>9839.17</v>
      </c>
      <c r="K15" s="7"/>
      <c r="L15" s="11">
        <f>34932.58+174667.05</f>
        <v>209599.63</v>
      </c>
      <c r="M15" s="7"/>
      <c r="N15" s="11">
        <f>750+3750</f>
        <v>4500</v>
      </c>
      <c r="O15" s="7"/>
      <c r="P15" s="82">
        <f>1053.13+4555.2+1780.24</f>
        <v>7388.57</v>
      </c>
      <c r="Q15" s="83"/>
      <c r="R15" s="82">
        <f>5954.15+23705.6+14768.99</f>
        <v>44428.74</v>
      </c>
      <c r="S15" s="83"/>
      <c r="T15" s="82">
        <f>1501.28+11196+1181.1+5467.38</f>
        <v>19345.760000000002</v>
      </c>
      <c r="U15" s="83"/>
      <c r="V15" s="11">
        <f>F15+H15+J15+L15+N15+P15+Q15+R15+S15+T15+U15</f>
        <v>363806.29</v>
      </c>
    </row>
    <row r="16" spans="2:22" x14ac:dyDescent="0.25">
      <c r="C16" s="9" t="s">
        <v>4</v>
      </c>
      <c r="D16" s="71"/>
      <c r="E16" s="72"/>
      <c r="F16" s="11">
        <f>57755.39+51.21</f>
        <v>57806.6</v>
      </c>
      <c r="G16" s="7"/>
      <c r="H16" s="14">
        <f>2078.72+5278.7</f>
        <v>7357.42</v>
      </c>
      <c r="I16" s="7"/>
      <c r="J16" s="14">
        <f>8139.7+297.39</f>
        <v>8437.09</v>
      </c>
      <c r="K16" s="7"/>
      <c r="L16" s="11">
        <f>182107.41+46600.61+5385.42+1081.5+510.69</f>
        <v>235685.63000000003</v>
      </c>
      <c r="M16" s="7"/>
      <c r="N16" s="14">
        <f>3784.68+60.6</f>
        <v>3845.2799999999997</v>
      </c>
      <c r="O16" s="7"/>
      <c r="P16" s="82">
        <f>4566.41+1691.88+122.92+0.75</f>
        <v>6381.96</v>
      </c>
      <c r="Q16" s="83"/>
      <c r="R16" s="82">
        <f>23399.19+14685.41+986.67+3.31</f>
        <v>39074.579999999994</v>
      </c>
      <c r="S16" s="83"/>
      <c r="T16" s="82">
        <f>11045.52+5324.76+71.12+257.64+1.61</f>
        <v>16700.650000000001</v>
      </c>
      <c r="U16" s="83"/>
      <c r="V16" s="12">
        <f t="shared" ref="V16:V17" si="0">F16+H16+J16+L16+N16+P16+Q16+R16+S16+T16+U16</f>
        <v>375289.21000000014</v>
      </c>
    </row>
    <row r="17" spans="2:22" ht="31.5" x14ac:dyDescent="0.25">
      <c r="C17" s="10" t="s">
        <v>5</v>
      </c>
      <c r="D17" s="71"/>
      <c r="E17" s="72"/>
      <c r="F17" s="14">
        <f>P43+P49</f>
        <v>87116.231250179975</v>
      </c>
      <c r="G17" s="7"/>
      <c r="H17" s="14">
        <f>P52</f>
        <v>0</v>
      </c>
      <c r="I17" s="7"/>
      <c r="J17" s="14">
        <f>J15</f>
        <v>9839.17</v>
      </c>
      <c r="K17" s="7"/>
      <c r="L17" s="11">
        <f>D8*L20*6+21762</f>
        <v>230158.58399999997</v>
      </c>
      <c r="M17" s="7"/>
      <c r="N17" s="18">
        <v>3917.3</v>
      </c>
      <c r="O17" s="7"/>
      <c r="P17" s="82">
        <f>P15+Q15</f>
        <v>7388.57</v>
      </c>
      <c r="Q17" s="83"/>
      <c r="R17" s="82">
        <f>R15+S15</f>
        <v>44428.74</v>
      </c>
      <c r="S17" s="83"/>
      <c r="T17" s="82">
        <f>T15+U15+25610.41</f>
        <v>44956.17</v>
      </c>
      <c r="U17" s="83"/>
      <c r="V17" s="12">
        <f t="shared" si="0"/>
        <v>427804.76525017992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-46610.720000000001</v>
      </c>
      <c r="G18" s="40"/>
      <c r="H18" s="31">
        <f>H16-H15+H14</f>
        <v>2.0000000000436557E-2</v>
      </c>
      <c r="I18" s="40"/>
      <c r="J18" s="31">
        <f>J16-J15+J14</f>
        <v>-5875.68</v>
      </c>
      <c r="K18" s="40"/>
      <c r="L18" s="31">
        <f>L16-L15+L14</f>
        <v>-79302.899999999965</v>
      </c>
      <c r="M18" s="40"/>
      <c r="N18" s="31">
        <f>N16-N15+N14</f>
        <v>-3057.2200000000003</v>
      </c>
      <c r="O18" s="40"/>
      <c r="P18" s="84">
        <f t="shared" ref="P18:V18" si="1">P16-P15+P14</f>
        <v>-4902.2099999999991</v>
      </c>
      <c r="Q18" s="85"/>
      <c r="R18" s="84">
        <f t="shared" si="1"/>
        <v>-23251.060000000005</v>
      </c>
      <c r="S18" s="85"/>
      <c r="T18" s="84">
        <f t="shared" si="1"/>
        <v>-11861.710000000001</v>
      </c>
      <c r="U18" s="85"/>
      <c r="V18" s="31">
        <f t="shared" si="1"/>
        <v>-174861.47999999984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-174861.47999999995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37.86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+N43+N49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-48.064446604262933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917.4</v>
      </c>
      <c r="M30" s="56"/>
      <c r="N30" s="56">
        <f>'1'!N30:O30</f>
        <v>5.5</v>
      </c>
      <c r="O30" s="56"/>
      <c r="P30" s="17">
        <f>L30*N30*6</f>
        <v>30274.199999999997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917.4</v>
      </c>
      <c r="M31" s="56"/>
      <c r="N31" s="56">
        <f>'1'!N31:O31</f>
        <v>1</v>
      </c>
      <c r="O31" s="56"/>
      <c r="P31" s="17">
        <f t="shared" ref="P31:P42" si="2">L31*N31*6</f>
        <v>5504.4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917.4</v>
      </c>
      <c r="M32" s="56"/>
      <c r="N32" s="56">
        <f>'1'!N32:O32</f>
        <v>0.4</v>
      </c>
      <c r="O32" s="56"/>
      <c r="P32" s="17">
        <f t="shared" si="2"/>
        <v>2201.7600000000002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917.4</v>
      </c>
      <c r="M33" s="56"/>
      <c r="N33" s="56">
        <f>'1'!N33:O33</f>
        <v>0.6</v>
      </c>
      <c r="O33" s="56"/>
      <c r="P33" s="17">
        <f t="shared" si="2"/>
        <v>3302.6399999999994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917.4</v>
      </c>
      <c r="M34" s="56"/>
      <c r="N34" s="56">
        <f>'1'!N34:O34</f>
        <v>1</v>
      </c>
      <c r="O34" s="56"/>
      <c r="P34" s="17">
        <f t="shared" si="2"/>
        <v>5504.4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917.4</v>
      </c>
      <c r="M35" s="56"/>
      <c r="N35" s="61">
        <f>'1'!N35:O35</f>
        <v>2.4</v>
      </c>
      <c r="O35" s="61"/>
      <c r="P35" s="17">
        <f t="shared" si="2"/>
        <v>13210.559999999998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917.4</v>
      </c>
      <c r="M36" s="56"/>
      <c r="N36" s="56">
        <f>'1'!N36:O36</f>
        <v>1.4198999999999999</v>
      </c>
      <c r="O36" s="56"/>
      <c r="P36" s="17">
        <f t="shared" si="2"/>
        <v>7815.6975600000005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917.4</v>
      </c>
      <c r="M37" s="56"/>
      <c r="N37" s="61">
        <f>'1'!N37:O37</f>
        <v>1.2367534499999999</v>
      </c>
      <c r="O37" s="61"/>
      <c r="P37" s="17">
        <f t="shared" si="2"/>
        <v>6807.5856901799989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917.4</v>
      </c>
      <c r="M38" s="56"/>
      <c r="N38" s="61">
        <f>'1'!N38:O38</f>
        <v>0.3</v>
      </c>
      <c r="O38" s="61"/>
      <c r="P38" s="17">
        <f t="shared" si="2"/>
        <v>1651.3199999999997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917.4</v>
      </c>
      <c r="M39" s="56"/>
      <c r="N39" s="56">
        <f>'1'!N39:O39</f>
        <v>0.92</v>
      </c>
      <c r="O39" s="56"/>
      <c r="P39" s="17">
        <f t="shared" si="2"/>
        <v>5064.0480000000007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917.4</v>
      </c>
      <c r="M40" s="56"/>
      <c r="N40" s="56">
        <f>'1'!N40:O40</f>
        <v>0.05</v>
      </c>
      <c r="O40" s="56"/>
      <c r="P40" s="17">
        <f t="shared" si="2"/>
        <v>275.22000000000003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917.4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917.4</v>
      </c>
      <c r="M42" s="56"/>
      <c r="N42" s="66">
        <f>'1'!N42:O42</f>
        <v>1</v>
      </c>
      <c r="O42" s="66"/>
      <c r="P42" s="17">
        <f t="shared" si="2"/>
        <v>5504.4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917.4</v>
      </c>
      <c r="M43" s="55"/>
      <c r="N43" s="87">
        <f>SUM(N30:O42)</f>
        <v>15.826653450000002</v>
      </c>
      <c r="O43" s="87"/>
      <c r="P43" s="39">
        <f>SUM(P30:P42)</f>
        <v>87116.231250179975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917.4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917.4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917.4</v>
      </c>
      <c r="M47" s="56"/>
      <c r="N47" s="56"/>
      <c r="O47" s="56"/>
      <c r="P47" s="4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917.4</v>
      </c>
      <c r="M48" s="56"/>
      <c r="N48" s="56"/>
      <c r="O48" s="56"/>
      <c r="P48" s="4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917.4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15"/>
      <c r="C51" s="58" t="s">
        <v>72</v>
      </c>
      <c r="D51" s="59"/>
      <c r="E51" s="59"/>
      <c r="F51" s="59"/>
      <c r="G51" s="59"/>
      <c r="H51" s="59"/>
      <c r="I51" s="59"/>
      <c r="J51" s="59"/>
      <c r="K51" s="60"/>
      <c r="L51" s="92">
        <v>917.4</v>
      </c>
      <c r="M51" s="89"/>
      <c r="N51" s="92">
        <v>0</v>
      </c>
      <c r="O51" s="89"/>
      <c r="P51" s="15"/>
    </row>
    <row r="52" spans="2:16" hidden="1" x14ac:dyDescent="0.25">
      <c r="B52" s="38"/>
      <c r="C52" s="52" t="s">
        <v>31</v>
      </c>
      <c r="D52" s="53"/>
      <c r="E52" s="53"/>
      <c r="F52" s="53"/>
      <c r="G52" s="53"/>
      <c r="H52" s="53"/>
      <c r="I52" s="53"/>
      <c r="J52" s="53"/>
      <c r="K52" s="54"/>
      <c r="L52" s="55">
        <v>917.4</v>
      </c>
      <c r="M52" s="55"/>
      <c r="N52" s="55">
        <v>0</v>
      </c>
      <c r="O52" s="55"/>
      <c r="P52" s="38">
        <v>0</v>
      </c>
    </row>
    <row r="55" spans="2:16" x14ac:dyDescent="0.25">
      <c r="C55" s="1" t="s">
        <v>38</v>
      </c>
    </row>
    <row r="56" spans="2:16" x14ac:dyDescent="0.25">
      <c r="C56" s="1" t="s">
        <v>39</v>
      </c>
    </row>
    <row r="57" spans="2:16" x14ac:dyDescent="0.25">
      <c r="C57" s="4" t="s">
        <v>99</v>
      </c>
      <c r="D57" s="22">
        <f>N43</f>
        <v>15.826653450000002</v>
      </c>
    </row>
    <row r="60" spans="2:16" x14ac:dyDescent="0.25">
      <c r="C60" s="1" t="s">
        <v>40</v>
      </c>
      <c r="D60" s="2"/>
      <c r="E60" s="2"/>
      <c r="F60" s="2"/>
      <c r="G60" s="2"/>
      <c r="H60" s="1" t="s">
        <v>41</v>
      </c>
    </row>
    <row r="63" spans="2:16" ht="24.75" customHeight="1" x14ac:dyDescent="0.25">
      <c r="C63" s="1" t="s">
        <v>42</v>
      </c>
      <c r="D63" s="2"/>
      <c r="E63" s="2"/>
      <c r="F63" s="1" t="s">
        <v>43</v>
      </c>
    </row>
    <row r="64" spans="2:16" ht="25.5" customHeight="1" x14ac:dyDescent="0.25">
      <c r="D64" s="2"/>
      <c r="E64" s="2"/>
      <c r="F64" s="1" t="s">
        <v>43</v>
      </c>
    </row>
    <row r="65" spans="4:6" ht="24.75" customHeight="1" x14ac:dyDescent="0.25">
      <c r="D65" s="2"/>
      <c r="E65" s="2"/>
      <c r="F65" s="1" t="s">
        <v>43</v>
      </c>
    </row>
  </sheetData>
  <mergeCells count="115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2:K52"/>
    <mergeCell ref="L52:M52"/>
    <mergeCell ref="N52:O52"/>
    <mergeCell ref="C48:K48"/>
    <mergeCell ref="L48:M48"/>
    <mergeCell ref="N48:O48"/>
    <mergeCell ref="C49:K49"/>
    <mergeCell ref="L49:M49"/>
    <mergeCell ref="N49:O49"/>
    <mergeCell ref="C51:K51"/>
    <mergeCell ref="L51:M51"/>
    <mergeCell ref="N51:O5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B1:V65"/>
  <sheetViews>
    <sheetView view="pageBreakPreview" zoomScale="79" zoomScaleNormal="84" zoomScaleSheetLayoutView="79" workbookViewId="0">
      <selection activeCell="P18" sqref="P18:Q18"/>
    </sheetView>
  </sheetViews>
  <sheetFormatPr defaultRowHeight="15.75" x14ac:dyDescent="0.25"/>
  <cols>
    <col min="1" max="1" width="2.85546875" style="1" customWidth="1"/>
    <col min="2" max="2" width="4" style="1" bestFit="1" customWidth="1"/>
    <col min="3" max="3" width="40" style="1" customWidth="1"/>
    <col min="4" max="4" width="13.28515625" style="1" customWidth="1"/>
    <col min="5" max="5" width="11.7109375" style="1" customWidth="1"/>
    <col min="6" max="6" width="10.5703125" style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" style="1" customWidth="1"/>
    <col min="19" max="19" width="10.28515625" style="1" customWidth="1"/>
    <col min="20" max="20" width="15.285156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63</v>
      </c>
    </row>
    <row r="8" spans="2:22" x14ac:dyDescent="0.25">
      <c r="C8" s="1" t="s">
        <v>33</v>
      </c>
      <c r="D8" s="2">
        <v>911.1</v>
      </c>
    </row>
    <row r="9" spans="2:22" x14ac:dyDescent="0.25">
      <c r="C9" s="1" t="s">
        <v>35</v>
      </c>
      <c r="D9" s="3">
        <v>47</v>
      </c>
    </row>
    <row r="10" spans="2:22" x14ac:dyDescent="0.25">
      <c r="C10" s="1" t="s">
        <v>36</v>
      </c>
      <c r="D10" s="3">
        <v>20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-357744.2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-81525.5</v>
      </c>
      <c r="G14" s="7"/>
      <c r="H14" s="11">
        <v>-15553.7</v>
      </c>
      <c r="I14" s="7"/>
      <c r="J14" s="11">
        <v>-20455.3</v>
      </c>
      <c r="K14" s="7"/>
      <c r="L14" s="11">
        <v>-191389.7</v>
      </c>
      <c r="M14" s="7"/>
      <c r="N14" s="11">
        <v>-1576.9</v>
      </c>
      <c r="O14" s="7"/>
      <c r="P14" s="71">
        <v>-6952.1</v>
      </c>
      <c r="Q14" s="72"/>
      <c r="R14" s="71">
        <v>-23749.7</v>
      </c>
      <c r="S14" s="72"/>
      <c r="T14" s="71">
        <v>-16541.3</v>
      </c>
      <c r="U14" s="72"/>
      <c r="V14" s="14">
        <f>F14+H14+J14+L14+N14+P14+Q14+R14+S14+T14+U14</f>
        <v>-357744.2</v>
      </c>
    </row>
    <row r="15" spans="2:22" x14ac:dyDescent="0.25">
      <c r="C15" s="9" t="s">
        <v>3</v>
      </c>
      <c r="D15" s="71"/>
      <c r="E15" s="72"/>
      <c r="F15" s="11">
        <f>14547.57+53927.05</f>
        <v>68474.62</v>
      </c>
      <c r="G15" s="7"/>
      <c r="H15" s="14"/>
      <c r="I15" s="7"/>
      <c r="J15" s="14">
        <f>2260.51+11347.25</f>
        <v>13607.76</v>
      </c>
      <c r="K15" s="7"/>
      <c r="L15" s="11">
        <f>35973.68+172584.85</f>
        <v>208558.53</v>
      </c>
      <c r="M15" s="7"/>
      <c r="N15" s="11">
        <f>700+3500</f>
        <v>4200</v>
      </c>
      <c r="O15" s="7"/>
      <c r="P15" s="82">
        <f>1085.14+4270.5+2276.35</f>
        <v>7631.99</v>
      </c>
      <c r="Q15" s="83"/>
      <c r="R15" s="82">
        <f>6029.88+22224+15333.41</f>
        <v>43587.29</v>
      </c>
      <c r="S15" s="83"/>
      <c r="T15" s="82">
        <f>1546.9+10496.25+1196.12+6286.55</f>
        <v>19525.82</v>
      </c>
      <c r="U15" s="83"/>
      <c r="V15" s="11">
        <f>F15+H15+J15+L15+N15+P15+Q15+R15+S15+T15+U15</f>
        <v>365586.00999999995</v>
      </c>
    </row>
    <row r="16" spans="2:22" x14ac:dyDescent="0.25">
      <c r="C16" s="9" t="s">
        <v>4</v>
      </c>
      <c r="D16" s="71"/>
      <c r="E16" s="72"/>
      <c r="F16" s="11">
        <f>55390.36+250.87+81.26</f>
        <v>55722.490000000005</v>
      </c>
      <c r="G16" s="7"/>
      <c r="H16" s="14">
        <f>1409.71+14144</f>
        <v>15553.71</v>
      </c>
      <c r="I16" s="7"/>
      <c r="J16" s="14">
        <f>15394.43+73.35</f>
        <v>15467.78</v>
      </c>
      <c r="K16" s="7"/>
      <c r="L16" s="11">
        <f>164217.77+17348.16+1724.89</f>
        <v>183290.82</v>
      </c>
      <c r="M16" s="7"/>
      <c r="N16" s="14">
        <f>3203.69+35.4</f>
        <v>3239.09</v>
      </c>
      <c r="O16" s="7"/>
      <c r="P16" s="82">
        <f>4290.78+2490.97+161.62+21.54</f>
        <v>6964.91</v>
      </c>
      <c r="Q16" s="83"/>
      <c r="R16" s="82">
        <f>19633.38+14573.12+945.99+93.12</f>
        <v>35245.61</v>
      </c>
      <c r="S16" s="83"/>
      <c r="T16" s="82">
        <f>10500.55+5811.51+16.67+406.99+29.7</f>
        <v>16765.420000000002</v>
      </c>
      <c r="U16" s="83"/>
      <c r="V16" s="12">
        <f t="shared" ref="V16:V17" si="0">F16+H16+J16+L16+N16+P16+Q16+R16+S16+T16+U16</f>
        <v>332249.83</v>
      </c>
    </row>
    <row r="17" spans="2:22" ht="31.5" x14ac:dyDescent="0.25">
      <c r="C17" s="10" t="s">
        <v>5</v>
      </c>
      <c r="D17" s="71"/>
      <c r="E17" s="72"/>
      <c r="F17" s="14">
        <f>P43+P49</f>
        <v>86517.983749769992</v>
      </c>
      <c r="G17" s="7"/>
      <c r="H17" s="14">
        <f>P52</f>
        <v>0</v>
      </c>
      <c r="I17" s="7"/>
      <c r="J17" s="14">
        <f>J15</f>
        <v>13607.76</v>
      </c>
      <c r="K17" s="7"/>
      <c r="L17" s="11">
        <f>D8*L20*6</f>
        <v>206965.476</v>
      </c>
      <c r="M17" s="7"/>
      <c r="N17" s="14">
        <v>3917.3</v>
      </c>
      <c r="O17" s="7"/>
      <c r="P17" s="82">
        <f>P15+Q15</f>
        <v>7631.99</v>
      </c>
      <c r="Q17" s="83"/>
      <c r="R17" s="82">
        <f>R15+S15</f>
        <v>43587.29</v>
      </c>
      <c r="S17" s="83"/>
      <c r="T17" s="82">
        <f>T15+U15+25610.409</f>
        <v>45136.228999999999</v>
      </c>
      <c r="U17" s="83"/>
      <c r="V17" s="12">
        <f t="shared" si="0"/>
        <v>407364.02874976996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-94277.62999999999</v>
      </c>
      <c r="G18" s="40"/>
      <c r="H18" s="31">
        <f>H16-H15+H14</f>
        <v>9.9999999983992893E-3</v>
      </c>
      <c r="I18" s="40"/>
      <c r="J18" s="31">
        <f>J16-J15+J14</f>
        <v>-18595.28</v>
      </c>
      <c r="K18" s="40"/>
      <c r="L18" s="31">
        <f>L16-L15+L14</f>
        <v>-216657.41</v>
      </c>
      <c r="M18" s="40"/>
      <c r="N18" s="31">
        <f>N16-N15+N14</f>
        <v>-2537.81</v>
      </c>
      <c r="O18" s="40"/>
      <c r="P18" s="84">
        <f t="shared" ref="P18:V18" si="1">P16-P15+P14</f>
        <v>-7619.18</v>
      </c>
      <c r="Q18" s="85"/>
      <c r="R18" s="84">
        <f t="shared" si="1"/>
        <v>-32091.38</v>
      </c>
      <c r="S18" s="85"/>
      <c r="T18" s="84">
        <f t="shared" si="1"/>
        <v>-19301.699999999997</v>
      </c>
      <c r="U18" s="85"/>
      <c r="V18" s="31">
        <f t="shared" si="1"/>
        <v>-391080.37999999995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-391080.38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37.86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-106.97356280126805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911.1</v>
      </c>
      <c r="M30" s="56"/>
      <c r="N30" s="56">
        <f>'1'!N30:O30</f>
        <v>5.5</v>
      </c>
      <c r="O30" s="56"/>
      <c r="P30" s="17">
        <f>L30*N30*6</f>
        <v>30066.300000000003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911.1</v>
      </c>
      <c r="M31" s="56"/>
      <c r="N31" s="56">
        <f>'1'!N31:O31</f>
        <v>1</v>
      </c>
      <c r="O31" s="56"/>
      <c r="P31" s="17">
        <f t="shared" ref="P31:P42" si="2">L31*N31*6</f>
        <v>5466.6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911.1</v>
      </c>
      <c r="M32" s="56"/>
      <c r="N32" s="56">
        <f>'1'!N32:O32</f>
        <v>0.4</v>
      </c>
      <c r="O32" s="56"/>
      <c r="P32" s="17">
        <f t="shared" si="2"/>
        <v>2186.6400000000003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911.1</v>
      </c>
      <c r="M33" s="56"/>
      <c r="N33" s="56">
        <f>'1'!N33:O33</f>
        <v>0.6</v>
      </c>
      <c r="O33" s="56"/>
      <c r="P33" s="17">
        <f t="shared" si="2"/>
        <v>3279.96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911.1</v>
      </c>
      <c r="M34" s="56"/>
      <c r="N34" s="56">
        <f>'1'!N34:O34</f>
        <v>1</v>
      </c>
      <c r="O34" s="56"/>
      <c r="P34" s="17">
        <f t="shared" si="2"/>
        <v>5466.6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911.1</v>
      </c>
      <c r="M35" s="56"/>
      <c r="N35" s="61">
        <f>'1'!N35:O35</f>
        <v>2.4</v>
      </c>
      <c r="O35" s="61"/>
      <c r="P35" s="17">
        <f t="shared" si="2"/>
        <v>13119.84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911.1</v>
      </c>
      <c r="M36" s="56"/>
      <c r="N36" s="56">
        <f>'1'!N36:O36</f>
        <v>1.4198999999999999</v>
      </c>
      <c r="O36" s="56"/>
      <c r="P36" s="17">
        <f t="shared" si="2"/>
        <v>7762.0253399999992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911.1</v>
      </c>
      <c r="M37" s="56"/>
      <c r="N37" s="61">
        <f>'1'!N37:O37</f>
        <v>1.2367534499999999</v>
      </c>
      <c r="O37" s="61"/>
      <c r="P37" s="17">
        <f t="shared" si="2"/>
        <v>6760.8364097699996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911.1</v>
      </c>
      <c r="M38" s="56"/>
      <c r="N38" s="61">
        <f>'1'!N38:O38</f>
        <v>0.3</v>
      </c>
      <c r="O38" s="61"/>
      <c r="P38" s="17">
        <f t="shared" si="2"/>
        <v>1639.98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911.1</v>
      </c>
      <c r="M39" s="56"/>
      <c r="N39" s="56">
        <f>'1'!N39:O39</f>
        <v>0.92</v>
      </c>
      <c r="O39" s="56"/>
      <c r="P39" s="17">
        <f t="shared" si="2"/>
        <v>5029.2720000000008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911.1</v>
      </c>
      <c r="M40" s="56"/>
      <c r="N40" s="56">
        <f>'1'!N40:O40</f>
        <v>0.05</v>
      </c>
      <c r="O40" s="56"/>
      <c r="P40" s="17">
        <f t="shared" si="2"/>
        <v>273.33000000000004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911.1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911.1</v>
      </c>
      <c r="M42" s="56"/>
      <c r="N42" s="66">
        <f>'1'!N42:O42</f>
        <v>1</v>
      </c>
      <c r="O42" s="66"/>
      <c r="P42" s="17">
        <f t="shared" si="2"/>
        <v>5466.6</v>
      </c>
    </row>
    <row r="43" spans="2:16" ht="19.5" customHeight="1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911.1</v>
      </c>
      <c r="M43" s="55"/>
      <c r="N43" s="87">
        <f>SUM(N30:O42)</f>
        <v>15.826653450000002</v>
      </c>
      <c r="O43" s="87"/>
      <c r="P43" s="39">
        <f>SUM(P30:P42)</f>
        <v>86517.983749769992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911.1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911.1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911.1</v>
      </c>
      <c r="M47" s="56"/>
      <c r="N47" s="56"/>
      <c r="O47" s="56"/>
      <c r="P47" s="17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911.1</v>
      </c>
      <c r="M48" s="56"/>
      <c r="N48" s="56"/>
      <c r="O48" s="5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911.1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15"/>
      <c r="C51" s="58" t="s">
        <v>72</v>
      </c>
      <c r="D51" s="59"/>
      <c r="E51" s="59"/>
      <c r="F51" s="59"/>
      <c r="G51" s="59"/>
      <c r="H51" s="59"/>
      <c r="I51" s="59"/>
      <c r="J51" s="59"/>
      <c r="K51" s="60"/>
      <c r="L51" s="92">
        <v>911.1</v>
      </c>
      <c r="M51" s="89"/>
      <c r="N51" s="92">
        <v>0</v>
      </c>
      <c r="O51" s="89"/>
      <c r="P51" s="15"/>
    </row>
    <row r="52" spans="2:16" hidden="1" x14ac:dyDescent="0.25">
      <c r="B52" s="38"/>
      <c r="C52" s="52" t="s">
        <v>31</v>
      </c>
      <c r="D52" s="53"/>
      <c r="E52" s="53"/>
      <c r="F52" s="53"/>
      <c r="G52" s="53"/>
      <c r="H52" s="53"/>
      <c r="I52" s="53"/>
      <c r="J52" s="53"/>
      <c r="K52" s="54"/>
      <c r="L52" s="55">
        <v>911.1</v>
      </c>
      <c r="M52" s="55"/>
      <c r="N52" s="55">
        <v>0</v>
      </c>
      <c r="O52" s="55"/>
      <c r="P52" s="38">
        <f>P51</f>
        <v>0</v>
      </c>
    </row>
    <row r="55" spans="2:16" x14ac:dyDescent="0.25">
      <c r="C55" s="1" t="s">
        <v>38</v>
      </c>
    </row>
    <row r="56" spans="2:16" x14ac:dyDescent="0.25">
      <c r="C56" s="1" t="s">
        <v>39</v>
      </c>
    </row>
    <row r="57" spans="2:16" x14ac:dyDescent="0.25">
      <c r="C57" s="4" t="s">
        <v>99</v>
      </c>
      <c r="D57" s="22">
        <f>N43</f>
        <v>15.826653450000002</v>
      </c>
    </row>
    <row r="60" spans="2:16" x14ac:dyDescent="0.25">
      <c r="C60" s="1" t="s">
        <v>40</v>
      </c>
      <c r="D60" s="2"/>
      <c r="E60" s="2"/>
      <c r="F60" s="2"/>
      <c r="G60" s="2"/>
      <c r="H60" s="1" t="s">
        <v>41</v>
      </c>
    </row>
    <row r="63" spans="2:16" ht="24.75" customHeight="1" x14ac:dyDescent="0.25">
      <c r="C63" s="1" t="s">
        <v>42</v>
      </c>
      <c r="D63" s="2"/>
      <c r="E63" s="2"/>
      <c r="F63" s="1" t="s">
        <v>43</v>
      </c>
    </row>
    <row r="64" spans="2:16" ht="25.5" customHeight="1" x14ac:dyDescent="0.25">
      <c r="D64" s="2"/>
      <c r="E64" s="2"/>
      <c r="F64" s="1" t="s">
        <v>43</v>
      </c>
    </row>
    <row r="65" spans="4:6" ht="24.75" customHeight="1" x14ac:dyDescent="0.25">
      <c r="D65" s="2"/>
      <c r="E65" s="2"/>
      <c r="F65" s="1" t="s">
        <v>43</v>
      </c>
    </row>
  </sheetData>
  <mergeCells count="115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2:K52"/>
    <mergeCell ref="L52:M52"/>
    <mergeCell ref="N52:O52"/>
    <mergeCell ref="C48:K48"/>
    <mergeCell ref="L48:M48"/>
    <mergeCell ref="N48:O48"/>
    <mergeCell ref="C49:K49"/>
    <mergeCell ref="L49:M49"/>
    <mergeCell ref="N49:O49"/>
    <mergeCell ref="C51:K51"/>
    <mergeCell ref="L51:M51"/>
    <mergeCell ref="N51:O5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B1:V64"/>
  <sheetViews>
    <sheetView view="pageBreakPreview" topLeftCell="A4" zoomScale="79" zoomScaleNormal="84" zoomScaleSheetLayoutView="79" workbookViewId="0">
      <selection activeCell="P18" sqref="P18:Q18"/>
    </sheetView>
  </sheetViews>
  <sheetFormatPr defaultRowHeight="15.75" x14ac:dyDescent="0.25"/>
  <cols>
    <col min="1" max="1" width="2.140625" style="1" customWidth="1"/>
    <col min="2" max="2" width="4" style="1" bestFit="1" customWidth="1"/>
    <col min="3" max="3" width="39.85546875" style="1" customWidth="1"/>
    <col min="4" max="4" width="13.28515625" style="1" customWidth="1"/>
    <col min="5" max="5" width="11.7109375" style="1" customWidth="1"/>
    <col min="6" max="6" width="9.140625" style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" style="1" customWidth="1"/>
    <col min="19" max="19" width="10.28515625" style="1" customWidth="1"/>
    <col min="20" max="20" width="14.1406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64</v>
      </c>
    </row>
    <row r="8" spans="2:22" x14ac:dyDescent="0.25">
      <c r="C8" s="1" t="s">
        <v>33</v>
      </c>
      <c r="D8" s="2">
        <v>919.2</v>
      </c>
    </row>
    <row r="9" spans="2:22" x14ac:dyDescent="0.25">
      <c r="C9" s="1" t="s">
        <v>35</v>
      </c>
      <c r="D9" s="3">
        <v>49</v>
      </c>
    </row>
    <row r="10" spans="2:22" x14ac:dyDescent="0.25">
      <c r="C10" s="1" t="s">
        <v>36</v>
      </c>
      <c r="D10" s="3">
        <v>15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-45680.399999999994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-8884.7999999999993</v>
      </c>
      <c r="G14" s="7"/>
      <c r="H14" s="11">
        <v>28.7</v>
      </c>
      <c r="I14" s="7"/>
      <c r="J14" s="11">
        <v>-1970.1</v>
      </c>
      <c r="K14" s="7"/>
      <c r="L14" s="11">
        <v>-28655.1</v>
      </c>
      <c r="M14" s="7"/>
      <c r="N14" s="11">
        <v>-602.20000000000005</v>
      </c>
      <c r="O14" s="7"/>
      <c r="P14" s="71">
        <v>-615.79999999999995</v>
      </c>
      <c r="Q14" s="72"/>
      <c r="R14" s="71">
        <v>-3325.4</v>
      </c>
      <c r="S14" s="72"/>
      <c r="T14" s="82">
        <v>-1655.7</v>
      </c>
      <c r="U14" s="83"/>
      <c r="V14" s="14">
        <f>F14+H14+J14+L14+N14+P14+Q14+R14+S14+T14+U14</f>
        <v>-45680.399999999994</v>
      </c>
    </row>
    <row r="15" spans="2:22" x14ac:dyDescent="0.25">
      <c r="C15" s="9" t="s">
        <v>3</v>
      </c>
      <c r="D15" s="71"/>
      <c r="E15" s="72"/>
      <c r="F15" s="11">
        <f>14098.98+54471.3</f>
        <v>68570.28</v>
      </c>
      <c r="G15" s="7"/>
      <c r="H15" s="14"/>
      <c r="I15" s="24"/>
      <c r="J15" s="14">
        <f>2260.53+10858.4</f>
        <v>13118.93</v>
      </c>
      <c r="K15" s="7"/>
      <c r="L15" s="11">
        <f>34864.44+174326.35</f>
        <v>209190.79</v>
      </c>
      <c r="M15" s="7"/>
      <c r="N15" s="11">
        <f>700+3500</f>
        <v>4200</v>
      </c>
      <c r="O15" s="7"/>
      <c r="P15" s="82">
        <f>1019.06+2676.18+4188.8</f>
        <v>7884.04</v>
      </c>
      <c r="Q15" s="83"/>
      <c r="R15" s="82">
        <f>5329.06+13927.04+22294.59</f>
        <v>41550.69</v>
      </c>
      <c r="S15" s="83"/>
      <c r="T15" s="82">
        <f>1452.67+6577.65+1057.1+10300.32</f>
        <v>19387.739999999998</v>
      </c>
      <c r="U15" s="83"/>
      <c r="V15" s="11">
        <f>F15+H15+J15+L15+N15+P15+Q15+R15+S15+T15+U15</f>
        <v>363902.47</v>
      </c>
    </row>
    <row r="16" spans="2:22" x14ac:dyDescent="0.25">
      <c r="C16" s="9" t="s">
        <v>4</v>
      </c>
      <c r="D16" s="71"/>
      <c r="E16" s="72"/>
      <c r="F16" s="11">
        <f>55310.99+805.56+3590.41</f>
        <v>59706.959999999992</v>
      </c>
      <c r="G16" s="7"/>
      <c r="H16" s="14">
        <v>-28.7</v>
      </c>
      <c r="I16" s="24"/>
      <c r="J16" s="14">
        <f>11067.93+616.84</f>
        <v>11684.77</v>
      </c>
      <c r="K16" s="7"/>
      <c r="L16" s="11">
        <f>177014.17+38586.73+11435.18</f>
        <v>227036.08000000002</v>
      </c>
      <c r="M16" s="7"/>
      <c r="N16" s="14">
        <f>3549.04+207.58</f>
        <v>3756.62</v>
      </c>
      <c r="O16" s="7"/>
      <c r="P16" s="82">
        <f>2804.11+464.18+228.73</f>
        <v>3497.02</v>
      </c>
      <c r="Q16" s="83"/>
      <c r="R16" s="82">
        <f>14598.87+21308.94+2331.41+1129.19</f>
        <v>39368.410000000003</v>
      </c>
      <c r="S16" s="83"/>
      <c r="T16" s="82">
        <f>6894.96+9660.86+292.09+832.1+540.99</f>
        <v>18221</v>
      </c>
      <c r="U16" s="83"/>
      <c r="V16" s="12">
        <f t="shared" ref="V16:V17" si="0">F16+H16+J16+L16+N16+P16+Q16+R16+S16+T16+U16</f>
        <v>363242.16000000003</v>
      </c>
    </row>
    <row r="17" spans="2:22" ht="31.5" x14ac:dyDescent="0.25">
      <c r="C17" s="10" t="s">
        <v>5</v>
      </c>
      <c r="D17" s="71"/>
      <c r="E17" s="72"/>
      <c r="F17" s="14">
        <f>P43+P49</f>
        <v>87287.159107439991</v>
      </c>
      <c r="G17" s="7"/>
      <c r="H17" s="11">
        <f>P51</f>
        <v>0</v>
      </c>
      <c r="I17" s="7"/>
      <c r="J17" s="14">
        <f>J15</f>
        <v>13118.93</v>
      </c>
      <c r="K17" s="7"/>
      <c r="L17" s="11">
        <f>D8*L20*6</f>
        <v>208805.47200000001</v>
      </c>
      <c r="M17" s="7"/>
      <c r="N17" s="14">
        <v>3917.3</v>
      </c>
      <c r="O17" s="7"/>
      <c r="P17" s="82">
        <f>P15+Q15</f>
        <v>7884.04</v>
      </c>
      <c r="Q17" s="83"/>
      <c r="R17" s="82">
        <f>R15+S15</f>
        <v>41550.69</v>
      </c>
      <c r="S17" s="83"/>
      <c r="T17" s="82">
        <f>T15+U15+25610.41</f>
        <v>44998.149999999994</v>
      </c>
      <c r="U17" s="83"/>
      <c r="V17" s="12">
        <f t="shared" si="0"/>
        <v>407561.74110743997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-17748.120000000006</v>
      </c>
      <c r="G18" s="32"/>
      <c r="H18" s="31">
        <f>H16-H15+H14</f>
        <v>0</v>
      </c>
      <c r="I18" s="40"/>
      <c r="J18" s="31">
        <f>J16-J15+J14</f>
        <v>-3404.2599999999998</v>
      </c>
      <c r="K18" s="40"/>
      <c r="L18" s="31">
        <f>L16-L15+L14</f>
        <v>-10809.80999999999</v>
      </c>
      <c r="M18" s="40"/>
      <c r="N18" s="31">
        <f>N16-N15+N14</f>
        <v>-1045.5800000000002</v>
      </c>
      <c r="O18" s="40"/>
      <c r="P18" s="84">
        <f t="shared" ref="P18:V18" si="1">P16-P15+P14</f>
        <v>-5002.8200000000006</v>
      </c>
      <c r="Q18" s="85"/>
      <c r="R18" s="84">
        <f t="shared" si="1"/>
        <v>-5507.6799999999985</v>
      </c>
      <c r="S18" s="85"/>
      <c r="T18" s="84">
        <f t="shared" si="1"/>
        <v>-2822.4399999999978</v>
      </c>
      <c r="U18" s="85"/>
      <c r="V18" s="31">
        <f t="shared" si="1"/>
        <v>-46340.709999999934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-46340.709999999992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37.86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-12.734376328910324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919.2</v>
      </c>
      <c r="M30" s="56"/>
      <c r="N30" s="56">
        <f>'1'!N30:O30</f>
        <v>5.5</v>
      </c>
      <c r="O30" s="56"/>
      <c r="P30" s="17">
        <f>L30*N30*6</f>
        <v>30333.600000000002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919.2</v>
      </c>
      <c r="M31" s="56"/>
      <c r="N31" s="56">
        <f>'1'!N31:O31</f>
        <v>1</v>
      </c>
      <c r="O31" s="56"/>
      <c r="P31" s="17">
        <f t="shared" ref="P31:P42" si="2">L31*N31*6</f>
        <v>5515.2000000000007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919.2</v>
      </c>
      <c r="M32" s="56"/>
      <c r="N32" s="56">
        <f>'1'!N32:O32</f>
        <v>0.4</v>
      </c>
      <c r="O32" s="56"/>
      <c r="P32" s="17">
        <f t="shared" si="2"/>
        <v>2206.0800000000004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919.2</v>
      </c>
      <c r="M33" s="56"/>
      <c r="N33" s="56">
        <f>'1'!N33:O33</f>
        <v>0.6</v>
      </c>
      <c r="O33" s="56"/>
      <c r="P33" s="17">
        <f t="shared" si="2"/>
        <v>3309.12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919.2</v>
      </c>
      <c r="M34" s="56"/>
      <c r="N34" s="56">
        <f>'1'!N34:O34</f>
        <v>1</v>
      </c>
      <c r="O34" s="56"/>
      <c r="P34" s="17">
        <f t="shared" si="2"/>
        <v>5515.2000000000007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919.2</v>
      </c>
      <c r="M35" s="56"/>
      <c r="N35" s="61">
        <f>'1'!N35:O35</f>
        <v>2.4</v>
      </c>
      <c r="O35" s="61"/>
      <c r="P35" s="17">
        <f t="shared" si="2"/>
        <v>13236.48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919.2</v>
      </c>
      <c r="M36" s="56"/>
      <c r="N36" s="56">
        <f>'1'!N36:O36</f>
        <v>1.4198999999999999</v>
      </c>
      <c r="O36" s="56"/>
      <c r="P36" s="17">
        <f t="shared" si="2"/>
        <v>7831.0324799999999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919.2</v>
      </c>
      <c r="M37" s="56"/>
      <c r="N37" s="61">
        <f>'1'!N37:O37</f>
        <v>1.2367534499999999</v>
      </c>
      <c r="O37" s="61"/>
      <c r="P37" s="17">
        <f t="shared" si="2"/>
        <v>6820.9426274400003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919.2</v>
      </c>
      <c r="M38" s="56"/>
      <c r="N38" s="61">
        <f>'1'!N38:O38</f>
        <v>0.3</v>
      </c>
      <c r="O38" s="61"/>
      <c r="P38" s="17">
        <f t="shared" si="2"/>
        <v>1654.56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919.2</v>
      </c>
      <c r="M39" s="56"/>
      <c r="N39" s="56">
        <f>'1'!N39:O39</f>
        <v>0.92</v>
      </c>
      <c r="O39" s="56"/>
      <c r="P39" s="17">
        <f t="shared" si="2"/>
        <v>5073.9840000000004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919.2</v>
      </c>
      <c r="M40" s="56"/>
      <c r="N40" s="56">
        <f>'1'!N40:O40</f>
        <v>0.05</v>
      </c>
      <c r="O40" s="56"/>
      <c r="P40" s="17">
        <f t="shared" si="2"/>
        <v>275.76000000000005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919.2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919.2</v>
      </c>
      <c r="M42" s="56"/>
      <c r="N42" s="66">
        <f>'1'!N42:O42</f>
        <v>1</v>
      </c>
      <c r="O42" s="66"/>
      <c r="P42" s="17">
        <f t="shared" si="2"/>
        <v>5515.2000000000007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919.2</v>
      </c>
      <c r="M43" s="55"/>
      <c r="N43" s="87">
        <f>SUM(N30:O42)</f>
        <v>15.826653450000002</v>
      </c>
      <c r="O43" s="87"/>
      <c r="P43" s="39">
        <f>SUM(P30:P42)</f>
        <v>87287.159107439991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919.2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919.2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919.2</v>
      </c>
      <c r="M47" s="56"/>
      <c r="N47" s="56"/>
      <c r="O47" s="56"/>
      <c r="P47" s="4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919.2</v>
      </c>
      <c r="M48" s="56"/>
      <c r="N48" s="56"/>
      <c r="O48" s="56"/>
      <c r="P48" s="4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919.2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919.2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B1:V64"/>
  <sheetViews>
    <sheetView tabSelected="1" view="pageBreakPreview" topLeftCell="A4" zoomScale="79" zoomScaleNormal="84" zoomScaleSheetLayoutView="79" workbookViewId="0">
      <selection activeCell="D14" sqref="D14:E14"/>
    </sheetView>
  </sheetViews>
  <sheetFormatPr defaultRowHeight="15.75" x14ac:dyDescent="0.25"/>
  <cols>
    <col min="1" max="1" width="3" style="1" customWidth="1"/>
    <col min="2" max="2" width="4" style="1" bestFit="1" customWidth="1"/>
    <col min="3" max="3" width="39" style="1" customWidth="1"/>
    <col min="4" max="4" width="13.28515625" style="1" customWidth="1"/>
    <col min="5" max="5" width="11.7109375" style="1" customWidth="1"/>
    <col min="6" max="6" width="9.140625" style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2.85546875" style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140625" style="1" customWidth="1"/>
    <col min="19" max="19" width="10.28515625" style="1" customWidth="1"/>
    <col min="20" max="20" width="14.57031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65</v>
      </c>
    </row>
    <row r="8" spans="2:22" x14ac:dyDescent="0.25">
      <c r="C8" s="1" t="s">
        <v>33</v>
      </c>
      <c r="D8" s="2">
        <v>929</v>
      </c>
    </row>
    <row r="9" spans="2:22" x14ac:dyDescent="0.25">
      <c r="C9" s="1" t="s">
        <v>35</v>
      </c>
      <c r="D9" s="3">
        <v>49</v>
      </c>
    </row>
    <row r="10" spans="2:22" x14ac:dyDescent="0.25">
      <c r="C10" s="1" t="s">
        <v>36</v>
      </c>
      <c r="D10" s="3">
        <v>20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27">
        <f>V14</f>
        <v>-161701.9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-26144</v>
      </c>
      <c r="G14" s="7"/>
      <c r="H14" s="11">
        <v>-3873.7</v>
      </c>
      <c r="I14" s="7"/>
      <c r="J14" s="11">
        <v>-5596.9</v>
      </c>
      <c r="K14" s="7"/>
      <c r="L14" s="11">
        <v>-81792.100000000006</v>
      </c>
      <c r="M14" s="7"/>
      <c r="N14" s="11">
        <v>-2403.1</v>
      </c>
      <c r="O14" s="7"/>
      <c r="P14" s="71">
        <v>-5064</v>
      </c>
      <c r="Q14" s="72"/>
      <c r="R14" s="71">
        <v>-24880.799999999999</v>
      </c>
      <c r="S14" s="72"/>
      <c r="T14" s="71">
        <v>-11947.3</v>
      </c>
      <c r="U14" s="72"/>
      <c r="V14" s="21">
        <f>F14+H14+J14+L14+N14+P14+Q14+R14+S14+T14+U14</f>
        <v>-161701.9</v>
      </c>
    </row>
    <row r="15" spans="2:22" x14ac:dyDescent="0.25">
      <c r="C15" s="9" t="s">
        <v>3</v>
      </c>
      <c r="D15" s="71"/>
      <c r="E15" s="72"/>
      <c r="F15" s="11">
        <f>14278.11+55163.4</f>
        <v>69441.510000000009</v>
      </c>
      <c r="G15" s="7"/>
      <c r="H15" s="14"/>
      <c r="I15" s="7"/>
      <c r="J15" s="14">
        <f>2038.88+10193.6</f>
        <v>12232.48</v>
      </c>
      <c r="K15" s="7"/>
      <c r="L15" s="11">
        <f>35307.38+176541.1</f>
        <v>211848.48</v>
      </c>
      <c r="M15" s="7"/>
      <c r="N15" s="11">
        <f>1000+5000</f>
        <v>6000</v>
      </c>
      <c r="O15" s="7"/>
      <c r="P15" s="82">
        <f>1125.13+3701.1+3207.05</f>
        <v>8033.28</v>
      </c>
      <c r="Q15" s="83"/>
      <c r="R15" s="82">
        <f>6377.47+19260.8+18061.44</f>
        <v>43699.71</v>
      </c>
      <c r="S15" s="83"/>
      <c r="T15" s="82">
        <f>1603.91+9096.75+1265.07+8154.42</f>
        <v>20120.150000000001</v>
      </c>
      <c r="U15" s="83"/>
      <c r="V15" s="11">
        <f>F15+H15+J15+L15+N15+P15+Q15+R15+S15+T15+U15</f>
        <v>371375.6100000001</v>
      </c>
    </row>
    <row r="16" spans="2:22" x14ac:dyDescent="0.25">
      <c r="C16" s="9" t="s">
        <v>4</v>
      </c>
      <c r="D16" s="71"/>
      <c r="E16" s="72"/>
      <c r="F16" s="11">
        <f>51269.68+41.98+24.05+5.14</f>
        <v>51340.850000000006</v>
      </c>
      <c r="G16" s="7"/>
      <c r="H16" s="14">
        <f>665+3208.7</f>
        <v>3873.7</v>
      </c>
      <c r="I16" s="7"/>
      <c r="J16" s="14">
        <f>9608.56+8.26</f>
        <v>9616.82</v>
      </c>
      <c r="K16" s="7"/>
      <c r="L16" s="11">
        <f>163736.49+46166.51+82.15+57450.5</f>
        <v>267435.65000000002</v>
      </c>
      <c r="M16" s="7"/>
      <c r="N16" s="14">
        <f>4622.07+7.49</f>
        <v>4629.5599999999995</v>
      </c>
      <c r="O16" s="7"/>
      <c r="P16" s="82">
        <f>3322.35+3030.73+301.68+1.71</f>
        <v>6656.47</v>
      </c>
      <c r="Q16" s="83"/>
      <c r="R16" s="82">
        <f>17013.54+17897.28</f>
        <v>34910.82</v>
      </c>
      <c r="S16" s="83"/>
      <c r="T16" s="82">
        <f>80559.03+7870.37+521.55+1.74+563.47+1.81-57450.5</f>
        <v>32067.47</v>
      </c>
      <c r="U16" s="83"/>
      <c r="V16" s="12">
        <f t="shared" ref="V16:V17" si="0">F16+H16+J16+L16+N16+P16+Q16+R16+S16+T16+U16</f>
        <v>410531.33999999997</v>
      </c>
    </row>
    <row r="17" spans="2:22" ht="31.5" x14ac:dyDescent="0.25">
      <c r="C17" s="10" t="s">
        <v>5</v>
      </c>
      <c r="D17" s="71"/>
      <c r="E17" s="72"/>
      <c r="F17" s="14">
        <f>P43+P49</f>
        <v>88217.766330300001</v>
      </c>
      <c r="G17" s="7"/>
      <c r="H17" s="11">
        <f>P51</f>
        <v>0</v>
      </c>
      <c r="I17" s="7"/>
      <c r="J17" s="14">
        <f>J15</f>
        <v>12232.48</v>
      </c>
      <c r="K17" s="7"/>
      <c r="L17" s="11">
        <f>D8*L20*6</f>
        <v>211031.64</v>
      </c>
      <c r="M17" s="7"/>
      <c r="N17" s="14">
        <v>3917.3</v>
      </c>
      <c r="O17" s="7"/>
      <c r="P17" s="82">
        <f>P15+Q15</f>
        <v>8033.28</v>
      </c>
      <c r="Q17" s="83"/>
      <c r="R17" s="82">
        <f>R15+S15</f>
        <v>43699.71</v>
      </c>
      <c r="S17" s="83"/>
      <c r="T17" s="82">
        <f>T15+U15+25610.41</f>
        <v>45730.559999999998</v>
      </c>
      <c r="U17" s="83"/>
      <c r="V17" s="12">
        <f t="shared" si="0"/>
        <v>412862.73633030005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-44244.66</v>
      </c>
      <c r="G18" s="32"/>
      <c r="H18" s="31">
        <f>H16-H15+H14</f>
        <v>0</v>
      </c>
      <c r="I18" s="40"/>
      <c r="J18" s="31">
        <f>J16-J15+J14</f>
        <v>-8212.56</v>
      </c>
      <c r="K18" s="40"/>
      <c r="L18" s="31">
        <f>L16-L15+L14</f>
        <v>-26204.929999999993</v>
      </c>
      <c r="M18" s="40"/>
      <c r="N18" s="31">
        <f>N16-N15+N14</f>
        <v>-3773.5400000000004</v>
      </c>
      <c r="O18" s="40"/>
      <c r="P18" s="84">
        <f t="shared" ref="P18:V18" si="1">P16-P15+P14</f>
        <v>-6440.8099999999995</v>
      </c>
      <c r="Q18" s="85"/>
      <c r="R18" s="84">
        <f t="shared" si="1"/>
        <v>-33669.69</v>
      </c>
      <c r="S18" s="85"/>
      <c r="T18" s="84">
        <f t="shared" si="1"/>
        <v>2.0000000000436557E-2</v>
      </c>
      <c r="U18" s="85"/>
      <c r="V18" s="33">
        <f t="shared" si="1"/>
        <v>-122546.17000000013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41">
        <f>F18+H18+J18+L18+N18+P18+Q18+R18+S18+T18+U18</f>
        <v>-122546.16999999998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37.86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-32.997904735854881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929</v>
      </c>
      <c r="M30" s="56"/>
      <c r="N30" s="56">
        <f>'1'!N30:O30</f>
        <v>5.5</v>
      </c>
      <c r="O30" s="56"/>
      <c r="P30" s="17">
        <f>L30*N30*6</f>
        <v>30657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929</v>
      </c>
      <c r="M31" s="56"/>
      <c r="N31" s="56">
        <f>'1'!N31:O31</f>
        <v>1</v>
      </c>
      <c r="O31" s="56"/>
      <c r="P31" s="17">
        <f t="shared" ref="P31:P42" si="2">L31*N31*6</f>
        <v>5574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929</v>
      </c>
      <c r="M32" s="56"/>
      <c r="N32" s="56">
        <f>'1'!N32:O32</f>
        <v>0.4</v>
      </c>
      <c r="O32" s="56"/>
      <c r="P32" s="17">
        <f t="shared" si="2"/>
        <v>2229.6000000000004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929</v>
      </c>
      <c r="M33" s="56"/>
      <c r="N33" s="56">
        <f>'1'!N33:O33</f>
        <v>0.6</v>
      </c>
      <c r="O33" s="56"/>
      <c r="P33" s="17">
        <f t="shared" si="2"/>
        <v>3344.3999999999996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929</v>
      </c>
      <c r="M34" s="56"/>
      <c r="N34" s="56">
        <f>'1'!N34:O34</f>
        <v>1</v>
      </c>
      <c r="O34" s="56"/>
      <c r="P34" s="17">
        <f t="shared" si="2"/>
        <v>5574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929</v>
      </c>
      <c r="M35" s="56"/>
      <c r="N35" s="61">
        <f>'1'!N35:O35</f>
        <v>2.4</v>
      </c>
      <c r="O35" s="61"/>
      <c r="P35" s="17">
        <f t="shared" si="2"/>
        <v>13377.599999999999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929</v>
      </c>
      <c r="M36" s="56"/>
      <c r="N36" s="56">
        <f>'1'!N36:O36</f>
        <v>1.4198999999999999</v>
      </c>
      <c r="O36" s="56"/>
      <c r="P36" s="17">
        <f t="shared" si="2"/>
        <v>7914.5226000000002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929</v>
      </c>
      <c r="M37" s="56"/>
      <c r="N37" s="61">
        <f>'1'!N37:O37</f>
        <v>1.2367534499999999</v>
      </c>
      <c r="O37" s="61"/>
      <c r="P37" s="17">
        <f t="shared" si="2"/>
        <v>6893.6637302999989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929</v>
      </c>
      <c r="M38" s="56"/>
      <c r="N38" s="61">
        <f>'1'!N38:O38</f>
        <v>0.3</v>
      </c>
      <c r="O38" s="61"/>
      <c r="P38" s="17">
        <f t="shared" si="2"/>
        <v>1672.1999999999998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929</v>
      </c>
      <c r="M39" s="56"/>
      <c r="N39" s="56">
        <f>'1'!N39:O39</f>
        <v>0.92</v>
      </c>
      <c r="O39" s="56"/>
      <c r="P39" s="17">
        <f t="shared" si="2"/>
        <v>5128.08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929</v>
      </c>
      <c r="M40" s="56"/>
      <c r="N40" s="56">
        <f>'1'!N40:O40</f>
        <v>0.05</v>
      </c>
      <c r="O40" s="56"/>
      <c r="P40" s="17">
        <f t="shared" si="2"/>
        <v>278.70000000000005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929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929</v>
      </c>
      <c r="M42" s="56"/>
      <c r="N42" s="66">
        <f>'1'!N42:O42</f>
        <v>1</v>
      </c>
      <c r="O42" s="66"/>
      <c r="P42" s="17">
        <f t="shared" si="2"/>
        <v>5574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929</v>
      </c>
      <c r="M43" s="55"/>
      <c r="N43" s="87">
        <f>SUM(N30:O42)</f>
        <v>15.826653450000002</v>
      </c>
      <c r="O43" s="87"/>
      <c r="P43" s="39">
        <f>SUM(P30:P42)</f>
        <v>88217.766330300001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929</v>
      </c>
      <c r="M45" s="56"/>
      <c r="N45" s="56"/>
      <c r="O45" s="56"/>
      <c r="P45" s="4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929</v>
      </c>
      <c r="M46" s="56"/>
      <c r="N46" s="56"/>
      <c r="O46" s="56"/>
      <c r="P46" s="4">
        <f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929</v>
      </c>
      <c r="M47" s="56"/>
      <c r="N47" s="56"/>
      <c r="O47" s="56"/>
      <c r="P47" s="4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929</v>
      </c>
      <c r="M48" s="56"/>
      <c r="N48" s="56"/>
      <c r="O48" s="56"/>
      <c r="P48" s="4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929</v>
      </c>
      <c r="M49" s="55"/>
      <c r="N49" s="55">
        <f>SUM(N45:O48)</f>
        <v>0</v>
      </c>
      <c r="O49" s="55"/>
      <c r="P49" s="38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929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102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V64"/>
  <sheetViews>
    <sheetView view="pageBreakPreview" topLeftCell="A4" zoomScale="78" zoomScaleNormal="84" zoomScaleSheetLayoutView="78" workbookViewId="0">
      <selection activeCell="P18" sqref="P18:Q18"/>
    </sheetView>
  </sheetViews>
  <sheetFormatPr defaultRowHeight="15.75" x14ac:dyDescent="0.25"/>
  <cols>
    <col min="1" max="1" width="4.140625" style="1" customWidth="1"/>
    <col min="2" max="2" width="4" style="1" bestFit="1" customWidth="1"/>
    <col min="3" max="3" width="39.28515625" style="1" customWidth="1"/>
    <col min="4" max="4" width="13.28515625" style="1" customWidth="1"/>
    <col min="5" max="5" width="10.85546875" style="1" customWidth="1"/>
    <col min="6" max="6" width="10" style="1" bestFit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2.5703125" style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5.28515625" style="1" customWidth="1"/>
    <col min="18" max="18" width="11.7109375" style="1" customWidth="1"/>
    <col min="19" max="19" width="5.85546875" style="1" customWidth="1"/>
    <col min="20" max="20" width="14.5703125" style="1" customWidth="1"/>
    <col min="21" max="21" width="4.2851562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2:22" x14ac:dyDescent="0.25">
      <c r="C6" s="29" t="s">
        <v>49</v>
      </c>
    </row>
    <row r="8" spans="2:22" x14ac:dyDescent="0.25">
      <c r="C8" s="1" t="s">
        <v>33</v>
      </c>
      <c r="D8" s="2">
        <v>3583.3</v>
      </c>
    </row>
    <row r="9" spans="2:22" x14ac:dyDescent="0.25">
      <c r="C9" s="1" t="s">
        <v>35</v>
      </c>
      <c r="D9" s="3">
        <v>191</v>
      </c>
    </row>
    <row r="10" spans="2:22" x14ac:dyDescent="0.25">
      <c r="C10" s="1" t="s">
        <v>36</v>
      </c>
      <c r="D10" s="3">
        <v>80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-918273.6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-191786</v>
      </c>
      <c r="G14" s="7"/>
      <c r="H14" s="11">
        <v>-53314.2</v>
      </c>
      <c r="I14" s="7"/>
      <c r="J14" s="11">
        <v>-39427.599999999999</v>
      </c>
      <c r="K14" s="7"/>
      <c r="L14" s="11">
        <v>-397167.8</v>
      </c>
      <c r="M14" s="7"/>
      <c r="N14" s="11">
        <v>-15059.2</v>
      </c>
      <c r="O14" s="7"/>
      <c r="P14" s="71">
        <v>-28263.7</v>
      </c>
      <c r="Q14" s="72"/>
      <c r="R14" s="71">
        <v>-135003.20000000001</v>
      </c>
      <c r="S14" s="72"/>
      <c r="T14" s="71">
        <v>-58251.9</v>
      </c>
      <c r="U14" s="72"/>
      <c r="V14" s="14">
        <f>F14+H14+J14+L14+N14+P14+Q14+R14+S14+T14+U14</f>
        <v>-918273.6</v>
      </c>
    </row>
    <row r="15" spans="2:22" x14ac:dyDescent="0.25">
      <c r="C15" s="9" t="s">
        <v>3</v>
      </c>
      <c r="D15" s="71"/>
      <c r="E15" s="72"/>
      <c r="F15" s="11">
        <f>212439.19+54986.35</f>
        <v>267425.53999999998</v>
      </c>
      <c r="G15" s="7"/>
      <c r="H15" s="14"/>
      <c r="I15" s="7"/>
      <c r="J15" s="14">
        <f>40464.16+7889.61</f>
        <v>48353.770000000004</v>
      </c>
      <c r="K15" s="7"/>
      <c r="L15" s="14">
        <f>446248.62+89242.26</f>
        <v>535490.88</v>
      </c>
      <c r="M15" s="7"/>
      <c r="N15" s="11">
        <f>17750+3550</f>
        <v>21300</v>
      </c>
      <c r="O15" s="7"/>
      <c r="P15" s="82">
        <f>3886.38+10932.48+13977.53</f>
        <v>28796.39</v>
      </c>
      <c r="Q15" s="83"/>
      <c r="R15" s="82">
        <f>56893.44+27045.11+97155.53</f>
        <v>181094.08000000002</v>
      </c>
      <c r="S15" s="83"/>
      <c r="T15" s="82">
        <f>5540.12+27710.1+38879.98+5364.78</f>
        <v>77494.98000000001</v>
      </c>
      <c r="U15" s="83"/>
      <c r="V15" s="11">
        <f>F15+H15+J15+L15+N15+P15+Q15+R15+S15+T15+U15</f>
        <v>1159955.6399999999</v>
      </c>
    </row>
    <row r="16" spans="2:22" x14ac:dyDescent="0.25">
      <c r="C16" s="9" t="s">
        <v>4</v>
      </c>
      <c r="D16" s="71"/>
      <c r="E16" s="72"/>
      <c r="F16" s="11">
        <f>213185.03+762.79+4001.97+2919.31</f>
        <v>220869.1</v>
      </c>
      <c r="G16" s="7"/>
      <c r="H16" s="14">
        <f>7022.36+46291.8</f>
        <v>53314.16</v>
      </c>
      <c r="I16" s="7"/>
      <c r="J16" s="14">
        <f>41453.4+1862.48</f>
        <v>43315.880000000005</v>
      </c>
      <c r="K16" s="7"/>
      <c r="L16" s="14">
        <f>446531+194.49+779.45+108045.59+13035.93</f>
        <v>568586.46000000008</v>
      </c>
      <c r="M16" s="7"/>
      <c r="N16" s="14">
        <f>17031.09+677.46</f>
        <v>17708.55</v>
      </c>
      <c r="O16" s="7"/>
      <c r="P16" s="82">
        <f>9549.93+13952.46+1535.45+44.28</f>
        <v>25082.12</v>
      </c>
      <c r="Q16" s="83"/>
      <c r="R16" s="82">
        <f>48908.15+99937.88+8140.18+78.55</f>
        <v>157064.75999999998</v>
      </c>
      <c r="S16" s="83"/>
      <c r="T16" s="82">
        <f>24358.4+39420.27+160.04+3425.28+56.19</f>
        <v>67420.180000000008</v>
      </c>
      <c r="U16" s="83"/>
      <c r="V16" s="12">
        <f t="shared" ref="V16:V17" si="0">F16+H16+J16+L16+N16+P16+Q16+R16+S16+T16+U16</f>
        <v>1153361.21</v>
      </c>
    </row>
    <row r="17" spans="2:22" ht="31.5" x14ac:dyDescent="0.25">
      <c r="C17" s="10" t="s">
        <v>5</v>
      </c>
      <c r="D17" s="71"/>
      <c r="E17" s="72"/>
      <c r="F17" s="14">
        <f>P43+P49</f>
        <v>340269.88384431007</v>
      </c>
      <c r="G17" s="7"/>
      <c r="H17" s="11">
        <f>P51</f>
        <v>0</v>
      </c>
      <c r="I17" s="7"/>
      <c r="J17" s="14">
        <f>J15</f>
        <v>48353.770000000004</v>
      </c>
      <c r="K17" s="7"/>
      <c r="L17" s="14">
        <f>D8*L20*6</f>
        <v>534270.03</v>
      </c>
      <c r="M17" s="7"/>
      <c r="N17" s="14">
        <v>3917.3</v>
      </c>
      <c r="O17" s="7"/>
      <c r="P17" s="82">
        <f>P15+Q15</f>
        <v>28796.39</v>
      </c>
      <c r="Q17" s="83"/>
      <c r="R17" s="82">
        <f>R15+S15</f>
        <v>181094.08000000002</v>
      </c>
      <c r="S17" s="83"/>
      <c r="T17" s="82">
        <f>T15+U15+25610.41</f>
        <v>103105.39000000001</v>
      </c>
      <c r="U17" s="72"/>
      <c r="V17" s="12">
        <f t="shared" si="0"/>
        <v>1239806.8438443104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-238342.43999999997</v>
      </c>
      <c r="G18" s="32"/>
      <c r="H18" s="31">
        <f>H16-H15+H14</f>
        <v>-3.9999999993597157E-2</v>
      </c>
      <c r="I18" s="32"/>
      <c r="J18" s="31">
        <f>J16-J15+J14</f>
        <v>-44465.49</v>
      </c>
      <c r="K18" s="32"/>
      <c r="L18" s="31">
        <f>L16-L15+L14</f>
        <v>-364072.21999999991</v>
      </c>
      <c r="M18" s="32"/>
      <c r="N18" s="31">
        <f>N16-N15+N14</f>
        <v>-18650.650000000001</v>
      </c>
      <c r="O18" s="32"/>
      <c r="P18" s="84">
        <f t="shared" ref="P18:V18" si="1">P16-P15+P14</f>
        <v>-31977.97</v>
      </c>
      <c r="Q18" s="85"/>
      <c r="R18" s="84">
        <f t="shared" si="1"/>
        <v>-159032.52000000005</v>
      </c>
      <c r="S18" s="85"/>
      <c r="T18" s="84">
        <f t="shared" si="1"/>
        <v>-68326.700000000012</v>
      </c>
      <c r="U18" s="85"/>
      <c r="V18" s="31">
        <f t="shared" si="1"/>
        <v>-924868.02999999991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-924868.03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3">
        <f>'1'!H20</f>
        <v>3.54</v>
      </c>
      <c r="I20" s="7"/>
      <c r="J20" s="13">
        <f>'1'!J20</f>
        <v>44.32</v>
      </c>
      <c r="K20" s="7"/>
      <c r="L20" s="11">
        <v>24.85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-79.733051688080081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3583.3</v>
      </c>
      <c r="M30" s="56"/>
      <c r="N30" s="56">
        <f>'1'!N30:O30</f>
        <v>5.5</v>
      </c>
      <c r="O30" s="56"/>
      <c r="P30" s="17">
        <f>L30*N30*6</f>
        <v>118248.90000000001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3583.3</v>
      </c>
      <c r="M31" s="56"/>
      <c r="N31" s="56">
        <f>'1'!N31:O31</f>
        <v>1</v>
      </c>
      <c r="O31" s="56"/>
      <c r="P31" s="17">
        <f t="shared" ref="P31:P42" si="2">L31*N31*6</f>
        <v>21499.800000000003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3583.3</v>
      </c>
      <c r="M32" s="56"/>
      <c r="N32" s="56">
        <f>'1'!N32:O32</f>
        <v>0.4</v>
      </c>
      <c r="O32" s="56"/>
      <c r="P32" s="17">
        <f t="shared" si="2"/>
        <v>8599.9200000000019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3583.3</v>
      </c>
      <c r="M33" s="56"/>
      <c r="N33" s="56">
        <f>'1'!N33:O33</f>
        <v>0.6</v>
      </c>
      <c r="O33" s="56"/>
      <c r="P33" s="17">
        <f t="shared" si="2"/>
        <v>12899.880000000001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3583.3</v>
      </c>
      <c r="M34" s="56"/>
      <c r="N34" s="56">
        <f>'1'!N34:O34</f>
        <v>1</v>
      </c>
      <c r="O34" s="56"/>
      <c r="P34" s="17">
        <f t="shared" si="2"/>
        <v>21499.800000000003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3583.3</v>
      </c>
      <c r="M35" s="56"/>
      <c r="N35" s="61">
        <f>'1'!N35:O35</f>
        <v>2.4</v>
      </c>
      <c r="O35" s="61"/>
      <c r="P35" s="17">
        <f t="shared" si="2"/>
        <v>51599.520000000004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3583.3</v>
      </c>
      <c r="M36" s="56"/>
      <c r="N36" s="56">
        <f>'1'!N36:O36</f>
        <v>1.4198999999999999</v>
      </c>
      <c r="O36" s="56"/>
      <c r="P36" s="17">
        <f t="shared" si="2"/>
        <v>30527.566019999998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3583.3</v>
      </c>
      <c r="M37" s="56"/>
      <c r="N37" s="61">
        <f>'1'!N37:O37</f>
        <v>1.2367534499999999</v>
      </c>
      <c r="O37" s="61"/>
      <c r="P37" s="17">
        <f t="shared" si="2"/>
        <v>26589.951824309996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3583.3</v>
      </c>
      <c r="M38" s="56"/>
      <c r="N38" s="61">
        <f>'1'!N38:O38</f>
        <v>0.3</v>
      </c>
      <c r="O38" s="61"/>
      <c r="P38" s="17">
        <f t="shared" si="2"/>
        <v>6449.9400000000005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3583.3</v>
      </c>
      <c r="M39" s="56"/>
      <c r="N39" s="56">
        <f>'1'!N39:O39</f>
        <v>0.92</v>
      </c>
      <c r="O39" s="56"/>
      <c r="P39" s="17">
        <f t="shared" si="2"/>
        <v>19779.816000000003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3583.3</v>
      </c>
      <c r="M40" s="56"/>
      <c r="N40" s="56">
        <f>'1'!N40:O40</f>
        <v>0.05</v>
      </c>
      <c r="O40" s="56"/>
      <c r="P40" s="17">
        <f t="shared" si="2"/>
        <v>1074.9900000000002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3583.3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3583.3</v>
      </c>
      <c r="M42" s="56"/>
      <c r="N42" s="66">
        <f>'1'!N42:O42</f>
        <v>1</v>
      </c>
      <c r="O42" s="66"/>
      <c r="P42" s="17">
        <f t="shared" si="2"/>
        <v>21499.800000000003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3583.3</v>
      </c>
      <c r="M43" s="55"/>
      <c r="N43" s="87">
        <f>SUM(N30:O42)</f>
        <v>15.826653450000002</v>
      </c>
      <c r="O43" s="87"/>
      <c r="P43" s="39">
        <f>SUM(P30:P42)</f>
        <v>340269.88384431007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3583.3</v>
      </c>
      <c r="M45" s="56"/>
      <c r="N45" s="56"/>
      <c r="O45" s="56"/>
      <c r="P45" s="17">
        <f>N45*L45*6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3583.3</v>
      </c>
      <c r="M46" s="56"/>
      <c r="N46" s="56"/>
      <c r="O46" s="56"/>
      <c r="P46" s="17">
        <f>N46*L46*6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3583.3</v>
      </c>
      <c r="M47" s="56"/>
      <c r="N47" s="56"/>
      <c r="O47" s="56"/>
      <c r="P47" s="17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3583.3</v>
      </c>
      <c r="M48" s="56"/>
      <c r="N48" s="56"/>
      <c r="O48" s="5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3583.3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3583.3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4:S14"/>
    <mergeCell ref="R13:S13"/>
    <mergeCell ref="R15:S15"/>
    <mergeCell ref="R16:S16"/>
    <mergeCell ref="R18:S18"/>
    <mergeCell ref="R20:S20"/>
    <mergeCell ref="R19:S19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4:E14"/>
    <mergeCell ref="D13:E13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B1:V64"/>
  <sheetViews>
    <sheetView view="pageBreakPreview" zoomScale="77" zoomScaleNormal="84" zoomScaleSheetLayoutView="77" workbookViewId="0">
      <selection activeCell="P18" sqref="P18:Q18"/>
    </sheetView>
  </sheetViews>
  <sheetFormatPr defaultRowHeight="15.75" x14ac:dyDescent="0.25"/>
  <cols>
    <col min="1" max="1" width="3" style="1" customWidth="1"/>
    <col min="2" max="2" width="4" style="1" bestFit="1" customWidth="1"/>
    <col min="3" max="3" width="39.140625" style="1" customWidth="1"/>
    <col min="4" max="4" width="13.28515625" style="1" customWidth="1"/>
    <col min="5" max="5" width="11.7109375" style="1" customWidth="1"/>
    <col min="6" max="6" width="10" style="1" bestFit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7109375" style="1" customWidth="1"/>
    <col min="19" max="19" width="10.28515625" style="1" customWidth="1"/>
    <col min="20" max="20" width="14.570312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66</v>
      </c>
    </row>
    <row r="8" spans="2:22" x14ac:dyDescent="0.25">
      <c r="C8" s="1" t="s">
        <v>33</v>
      </c>
      <c r="D8" s="2">
        <v>4051</v>
      </c>
    </row>
    <row r="9" spans="2:22" x14ac:dyDescent="0.25">
      <c r="C9" s="1" t="s">
        <v>35</v>
      </c>
      <c r="D9" s="3">
        <v>244</v>
      </c>
    </row>
    <row r="10" spans="2:22" x14ac:dyDescent="0.25">
      <c r="C10" s="1" t="s">
        <v>36</v>
      </c>
      <c r="D10" s="3">
        <v>90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-668931.6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-151246.39999999999</v>
      </c>
      <c r="G14" s="7"/>
      <c r="H14" s="11">
        <v>-21550.2</v>
      </c>
      <c r="I14" s="7"/>
      <c r="J14" s="11">
        <v>-28369.599999999999</v>
      </c>
      <c r="K14" s="7"/>
      <c r="L14" s="11">
        <v>-293347.40000000002</v>
      </c>
      <c r="M14" s="7"/>
      <c r="N14" s="11">
        <v>-10522.2</v>
      </c>
      <c r="O14" s="7"/>
      <c r="P14" s="71">
        <v>-20241.5</v>
      </c>
      <c r="Q14" s="72"/>
      <c r="R14" s="71">
        <v>-95842.7</v>
      </c>
      <c r="S14" s="72"/>
      <c r="T14" s="71">
        <v>-47811.6</v>
      </c>
      <c r="U14" s="72"/>
      <c r="V14" s="14">
        <f>F14+H14+J14+L14+N14+P14+Q14+R14+T14+U14+S14</f>
        <v>-668931.6</v>
      </c>
    </row>
    <row r="15" spans="2:22" x14ac:dyDescent="0.25">
      <c r="C15" s="9" t="s">
        <v>3</v>
      </c>
      <c r="D15" s="71"/>
      <c r="E15" s="72"/>
      <c r="F15" s="11">
        <f>47437.19+237291.24</f>
        <v>284728.43</v>
      </c>
      <c r="G15" s="7"/>
      <c r="H15" s="14"/>
      <c r="I15" s="7"/>
      <c r="J15" s="14">
        <f>10218.79+50949.39</f>
        <v>61168.18</v>
      </c>
      <c r="K15" s="7"/>
      <c r="L15" s="11">
        <f>99637.99+498452.05</f>
        <v>598090.04</v>
      </c>
      <c r="M15" s="7"/>
      <c r="N15" s="11">
        <f>3950+19750</f>
        <v>23700</v>
      </c>
      <c r="O15" s="7"/>
      <c r="P15" s="82">
        <f>6865.47+19701.24+7.84+16399.81</f>
        <v>42974.36</v>
      </c>
      <c r="Q15" s="83"/>
      <c r="R15" s="82">
        <f>35335.24+102526.72+90109.65</f>
        <v>227971.61</v>
      </c>
      <c r="S15" s="83"/>
      <c r="T15" s="82">
        <f>9787.13+48422.7+7009.27+41028.68</f>
        <v>106247.78</v>
      </c>
      <c r="U15" s="83"/>
      <c r="V15" s="11">
        <f>F15+H15+J15+L15+N15+P15+Q15+R15+T15+U15+S15</f>
        <v>1344880.4000000001</v>
      </c>
    </row>
    <row r="16" spans="2:22" x14ac:dyDescent="0.25">
      <c r="C16" s="9" t="s">
        <v>4</v>
      </c>
      <c r="D16" s="71"/>
      <c r="E16" s="72"/>
      <c r="F16" s="11">
        <f>229866.47+58.73+6579.9</f>
        <v>236505.1</v>
      </c>
      <c r="G16" s="7"/>
      <c r="H16" s="14">
        <f>5170.21+16380</f>
        <v>21550.21</v>
      </c>
      <c r="I16" s="7"/>
      <c r="J16" s="14">
        <f>49750.8+2002.21</f>
        <v>51753.01</v>
      </c>
      <c r="K16" s="7"/>
      <c r="L16" s="11">
        <f>479402.39+143645.81+13990.55</f>
        <v>637038.75</v>
      </c>
      <c r="M16" s="7"/>
      <c r="N16" s="14">
        <f>18700.17+504.37</f>
        <v>19204.539999999997</v>
      </c>
      <c r="O16" s="7"/>
      <c r="P16" s="82">
        <f>19139.87+8.33+17827.91+1.45+1969.22+412.96</f>
        <v>39359.74</v>
      </c>
      <c r="Q16" s="83"/>
      <c r="R16" s="82">
        <f>99029.11+84453.31+9162.66+2142.05</f>
        <v>194787.12999999998</v>
      </c>
      <c r="S16" s="83"/>
      <c r="T16" s="82">
        <f>46841.46+42041.98+460.41+217.51+3768.39+795.04</f>
        <v>94124.79</v>
      </c>
      <c r="U16" s="83"/>
      <c r="V16" s="12">
        <f t="shared" ref="V16:V17" si="0">F16+H16+J16+L16+N16+P16+Q16+R16+T16+U16+S16</f>
        <v>1294323.27</v>
      </c>
    </row>
    <row r="17" spans="2:22" ht="31.5" x14ac:dyDescent="0.25">
      <c r="C17" s="10" t="s">
        <v>5</v>
      </c>
      <c r="D17" s="71"/>
      <c r="E17" s="72"/>
      <c r="F17" s="14">
        <f>P43+P49</f>
        <v>384682.63875570003</v>
      </c>
      <c r="G17" s="7"/>
      <c r="H17" s="11">
        <f>P51</f>
        <v>0</v>
      </c>
      <c r="I17" s="7"/>
      <c r="J17" s="14">
        <f>J15</f>
        <v>61168.18</v>
      </c>
      <c r="K17" s="7"/>
      <c r="L17" s="11">
        <f>D8*L20*6</f>
        <v>604004.10000000009</v>
      </c>
      <c r="M17" s="7"/>
      <c r="N17" s="14">
        <v>3917.33</v>
      </c>
      <c r="O17" s="7"/>
      <c r="P17" s="82">
        <f>P15+Q15</f>
        <v>42974.36</v>
      </c>
      <c r="Q17" s="83"/>
      <c r="R17" s="82">
        <f>R15+S15</f>
        <v>227971.61</v>
      </c>
      <c r="S17" s="83"/>
      <c r="T17" s="82">
        <f>T15+U15+51220.79</f>
        <v>157468.57</v>
      </c>
      <c r="U17" s="83"/>
      <c r="V17" s="12">
        <f t="shared" si="0"/>
        <v>1482186.7887557002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-199469.72999999998</v>
      </c>
      <c r="G18" s="40"/>
      <c r="H18" s="31">
        <f>H16-H15+H14</f>
        <v>9.9999999983992893E-3</v>
      </c>
      <c r="I18" s="40"/>
      <c r="J18" s="31">
        <f>J16-J15+J14</f>
        <v>-37784.769999999997</v>
      </c>
      <c r="K18" s="40"/>
      <c r="L18" s="31">
        <f>L16-L15+L14</f>
        <v>-254398.69000000006</v>
      </c>
      <c r="M18" s="40"/>
      <c r="N18" s="31">
        <f>N16-N15+N14</f>
        <v>-15017.660000000003</v>
      </c>
      <c r="O18" s="40"/>
      <c r="P18" s="84">
        <f t="shared" ref="P18:V18" si="1">P16-P15+P14</f>
        <v>-23856.120000000003</v>
      </c>
      <c r="Q18" s="85"/>
      <c r="R18" s="84">
        <f>R16-R15+R14</f>
        <v>-129027.18000000001</v>
      </c>
      <c r="S18" s="85"/>
      <c r="T18" s="84">
        <f t="shared" si="1"/>
        <v>-59934.590000000004</v>
      </c>
      <c r="U18" s="85"/>
      <c r="V18" s="31">
        <f t="shared" si="1"/>
        <v>-719488.7300000001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-719488.7300000001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24.85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-53.498343049686802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4051</v>
      </c>
      <c r="M30" s="56"/>
      <c r="N30" s="56">
        <f>'1'!N30:O30</f>
        <v>5.5</v>
      </c>
      <c r="O30" s="56"/>
      <c r="P30" s="17">
        <f>L30*N30*6</f>
        <v>133683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4051</v>
      </c>
      <c r="M31" s="56"/>
      <c r="N31" s="56">
        <f>'1'!N31:O31</f>
        <v>1</v>
      </c>
      <c r="O31" s="56"/>
      <c r="P31" s="17">
        <f t="shared" ref="P31:P42" si="2">L31*N31*6</f>
        <v>24306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4051</v>
      </c>
      <c r="M32" s="56"/>
      <c r="N32" s="56">
        <f>'1'!N32:O32</f>
        <v>0.4</v>
      </c>
      <c r="O32" s="56"/>
      <c r="P32" s="17">
        <f t="shared" si="2"/>
        <v>9722.4000000000015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4051</v>
      </c>
      <c r="M33" s="56"/>
      <c r="N33" s="56">
        <f>'1'!N33:O33</f>
        <v>0.6</v>
      </c>
      <c r="O33" s="56"/>
      <c r="P33" s="17">
        <f t="shared" si="2"/>
        <v>14583.599999999999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4051</v>
      </c>
      <c r="M34" s="56"/>
      <c r="N34" s="56">
        <f>'1'!N34:O34</f>
        <v>1</v>
      </c>
      <c r="O34" s="56"/>
      <c r="P34" s="17">
        <f t="shared" si="2"/>
        <v>24306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4051</v>
      </c>
      <c r="M35" s="56"/>
      <c r="N35" s="61">
        <f>'1'!N35:O35</f>
        <v>2.4</v>
      </c>
      <c r="O35" s="61"/>
      <c r="P35" s="17">
        <f t="shared" si="2"/>
        <v>58334.399999999994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4051</v>
      </c>
      <c r="M36" s="56"/>
      <c r="N36" s="56">
        <f>'1'!N36:O36</f>
        <v>1.4198999999999999</v>
      </c>
      <c r="O36" s="56"/>
      <c r="P36" s="17">
        <f t="shared" si="2"/>
        <v>34512.089399999997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4051</v>
      </c>
      <c r="M37" s="56"/>
      <c r="N37" s="61">
        <f>'1'!N37:O37</f>
        <v>1.2367534499999999</v>
      </c>
      <c r="O37" s="61"/>
      <c r="P37" s="17">
        <f t="shared" si="2"/>
        <v>30060.529355699997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4051</v>
      </c>
      <c r="M38" s="56"/>
      <c r="N38" s="61">
        <f>'1'!N38:O38</f>
        <v>0.3</v>
      </c>
      <c r="O38" s="61"/>
      <c r="P38" s="17">
        <f t="shared" si="2"/>
        <v>7291.7999999999993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4051</v>
      </c>
      <c r="M39" s="56"/>
      <c r="N39" s="56">
        <f>'1'!N39:O39</f>
        <v>0.92</v>
      </c>
      <c r="O39" s="56"/>
      <c r="P39" s="17">
        <f t="shared" si="2"/>
        <v>22361.52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4051</v>
      </c>
      <c r="M40" s="56"/>
      <c r="N40" s="56">
        <f>'1'!N40:O40</f>
        <v>0.05</v>
      </c>
      <c r="O40" s="56"/>
      <c r="P40" s="17">
        <f t="shared" si="2"/>
        <v>1215.3000000000002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4051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4051</v>
      </c>
      <c r="M42" s="56"/>
      <c r="N42" s="66">
        <f>'1'!N42:O42</f>
        <v>1</v>
      </c>
      <c r="O42" s="66"/>
      <c r="P42" s="17">
        <f t="shared" si="2"/>
        <v>24306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4051</v>
      </c>
      <c r="M43" s="55"/>
      <c r="N43" s="87">
        <f>SUM(N30:O42)</f>
        <v>15.826653450000002</v>
      </c>
      <c r="O43" s="87"/>
      <c r="P43" s="39">
        <f>SUM(P30:P42)</f>
        <v>384682.63875570003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4051</v>
      </c>
      <c r="M45" s="56"/>
      <c r="N45" s="56"/>
      <c r="O45" s="56"/>
      <c r="P45" s="4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4051</v>
      </c>
      <c r="M46" s="56"/>
      <c r="N46" s="56"/>
      <c r="O46" s="56"/>
      <c r="P46" s="4">
        <f>L46*N46*6</f>
        <v>0</v>
      </c>
    </row>
    <row r="47" spans="2:16" hidden="1" x14ac:dyDescent="0.25">
      <c r="B47" s="4">
        <v>3</v>
      </c>
      <c r="C47" s="58" t="s">
        <v>90</v>
      </c>
      <c r="D47" s="59"/>
      <c r="E47" s="59"/>
      <c r="F47" s="59"/>
      <c r="G47" s="59"/>
      <c r="H47" s="59"/>
      <c r="I47" s="59"/>
      <c r="J47" s="59"/>
      <c r="K47" s="60"/>
      <c r="L47" s="56">
        <v>4051</v>
      </c>
      <c r="M47" s="56"/>
      <c r="N47" s="66"/>
      <c r="O47" s="66"/>
      <c r="P47" s="4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4051</v>
      </c>
      <c r="M48" s="56"/>
      <c r="N48" s="56"/>
      <c r="O48" s="56"/>
      <c r="P48" s="4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4051</v>
      </c>
      <c r="M49" s="55"/>
      <c r="N49" s="87">
        <f>SUM(N45:O48)</f>
        <v>0</v>
      </c>
      <c r="O49" s="87"/>
      <c r="P49" s="38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4051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B1:V64"/>
  <sheetViews>
    <sheetView view="pageBreakPreview" zoomScale="77" zoomScaleNormal="84" zoomScaleSheetLayoutView="77" workbookViewId="0">
      <selection activeCell="P18" sqref="P18:Q18"/>
    </sheetView>
  </sheetViews>
  <sheetFormatPr defaultRowHeight="15.75" x14ac:dyDescent="0.25"/>
  <cols>
    <col min="1" max="1" width="2.7109375" style="1" customWidth="1"/>
    <col min="2" max="2" width="4" style="1" bestFit="1" customWidth="1"/>
    <col min="3" max="3" width="39.5703125" style="1" customWidth="1"/>
    <col min="4" max="4" width="13.28515625" style="1" customWidth="1"/>
    <col min="5" max="5" width="11.7109375" style="1" customWidth="1"/>
    <col min="6" max="6" width="10" style="1" bestFit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140625" style="1" customWidth="1"/>
    <col min="19" max="19" width="10.28515625" style="1" customWidth="1"/>
    <col min="20" max="20" width="1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67</v>
      </c>
    </row>
    <row r="8" spans="2:22" x14ac:dyDescent="0.25">
      <c r="C8" s="1" t="s">
        <v>33</v>
      </c>
      <c r="D8" s="2">
        <v>1441.26</v>
      </c>
    </row>
    <row r="9" spans="2:22" x14ac:dyDescent="0.25">
      <c r="C9" s="1" t="s">
        <v>35</v>
      </c>
      <c r="D9" s="3">
        <v>79</v>
      </c>
    </row>
    <row r="10" spans="2:22" x14ac:dyDescent="0.25">
      <c r="C10" s="1" t="s">
        <v>36</v>
      </c>
      <c r="D10" s="3">
        <v>29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6"/>
      <c r="G13" s="7"/>
      <c r="H13" s="6"/>
      <c r="I13" s="7"/>
      <c r="J13" s="6"/>
      <c r="K13" s="7"/>
      <c r="L13" s="6"/>
      <c r="M13" s="7"/>
      <c r="N13" s="6"/>
      <c r="O13" s="7"/>
      <c r="P13" s="71"/>
      <c r="Q13" s="72"/>
      <c r="R13" s="71"/>
      <c r="S13" s="72"/>
      <c r="T13" s="71"/>
      <c r="U13" s="72"/>
      <c r="V13" s="30">
        <f>V14</f>
        <v>-276656.90000000002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6">
        <v>-60240.800000000003</v>
      </c>
      <c r="G14" s="7"/>
      <c r="H14" s="6">
        <v>-10965.7</v>
      </c>
      <c r="I14" s="7"/>
      <c r="J14" s="6">
        <v>-12421.6</v>
      </c>
      <c r="K14" s="7"/>
      <c r="L14" s="6">
        <v>-147207.70000000001</v>
      </c>
      <c r="M14" s="7"/>
      <c r="N14" s="14">
        <v>-3052.1</v>
      </c>
      <c r="O14" s="7"/>
      <c r="P14" s="71">
        <v>-3791.2</v>
      </c>
      <c r="Q14" s="72"/>
      <c r="R14" s="71">
        <v>-24707.5</v>
      </c>
      <c r="S14" s="72"/>
      <c r="T14" s="71">
        <v>-14270.3</v>
      </c>
      <c r="U14" s="72"/>
      <c r="V14" s="14">
        <f>F14+H14+J14+L14+N14+P14+Q14+R14+S14+T14+U14</f>
        <v>-276656.90000000002</v>
      </c>
    </row>
    <row r="15" spans="2:22" x14ac:dyDescent="0.25">
      <c r="C15" s="9" t="s">
        <v>3</v>
      </c>
      <c r="D15" s="71"/>
      <c r="E15" s="72"/>
      <c r="F15" s="6">
        <f>22111.47+84284.05</f>
        <v>106395.52</v>
      </c>
      <c r="G15" s="7"/>
      <c r="H15" s="14"/>
      <c r="I15" s="7"/>
      <c r="J15" s="14">
        <f>3900.5+19426.31</f>
        <v>23326.81</v>
      </c>
      <c r="K15" s="7"/>
      <c r="L15" s="6">
        <f>48303.74+238318.15</f>
        <v>286621.89</v>
      </c>
      <c r="M15" s="7"/>
      <c r="N15" s="6">
        <f>1150+5250</f>
        <v>6400</v>
      </c>
      <c r="O15" s="7"/>
      <c r="P15" s="82">
        <f>1961.72+4897.05+6099.94</f>
        <v>12958.71</v>
      </c>
      <c r="Q15" s="83"/>
      <c r="R15" s="82">
        <f>10007.63+25287.57+32548.23</f>
        <v>67843.429999999993</v>
      </c>
      <c r="S15" s="83"/>
      <c r="T15" s="82">
        <f>2796.47+12044.73+1985.16+15151.92</f>
        <v>31978.28</v>
      </c>
      <c r="U15" s="83"/>
      <c r="V15" s="6">
        <f>F15+H15+J15+L15+N15+P15+Q15+R15+S15+T15+U15</f>
        <v>535524.64</v>
      </c>
    </row>
    <row r="16" spans="2:22" x14ac:dyDescent="0.25">
      <c r="C16" s="9" t="s">
        <v>4</v>
      </c>
      <c r="D16" s="71"/>
      <c r="E16" s="72"/>
      <c r="F16" s="6">
        <f>87109.23+14.92+2190.41+1399.7</f>
        <v>90714.26</v>
      </c>
      <c r="G16" s="7"/>
      <c r="H16" s="14">
        <f>3424.52+7541.2</f>
        <v>10965.72</v>
      </c>
      <c r="I16" s="7"/>
      <c r="J16" s="14">
        <f>19433.34+1426.6</f>
        <v>20859.939999999999</v>
      </c>
      <c r="K16" s="7"/>
      <c r="L16" s="6">
        <f>238954.27+64934.71+8531.3</f>
        <v>312420.27999999997</v>
      </c>
      <c r="M16" s="7"/>
      <c r="N16" s="14">
        <f>5435.04+759.13</f>
        <v>6194.17</v>
      </c>
      <c r="O16" s="7"/>
      <c r="P16" s="82">
        <f>6450+6246.92+549.55+3.65</f>
        <v>13250.119999999999</v>
      </c>
      <c r="Q16" s="83"/>
      <c r="R16" s="82">
        <f>30634.62+32315+3068.48+3.95</f>
        <v>66022.049999999988</v>
      </c>
      <c r="S16" s="83"/>
      <c r="T16" s="82">
        <f>15505.87+15315.18+49.89+1747.28+3.75</f>
        <v>32621.97</v>
      </c>
      <c r="U16" s="83"/>
      <c r="V16" s="12">
        <f t="shared" ref="V16:V17" si="0">F16+H16+J16+L16+N16+P16+Q16+R16+S16+T16+U16</f>
        <v>553048.50999999989</v>
      </c>
    </row>
    <row r="17" spans="2:22" ht="31.5" x14ac:dyDescent="0.25">
      <c r="C17" s="10" t="s">
        <v>5</v>
      </c>
      <c r="D17" s="71"/>
      <c r="E17" s="72"/>
      <c r="F17" s="14">
        <f>P43+P49</f>
        <v>136861.935308082</v>
      </c>
      <c r="G17" s="7"/>
      <c r="H17" s="6">
        <f>P51</f>
        <v>0</v>
      </c>
      <c r="I17" s="7"/>
      <c r="J17" s="14">
        <f>J15</f>
        <v>23326.81</v>
      </c>
      <c r="K17" s="7"/>
      <c r="L17" s="6">
        <f>D8*L20*6</f>
        <v>289260.88200000004</v>
      </c>
      <c r="M17" s="7"/>
      <c r="N17" s="14">
        <v>3917.3</v>
      </c>
      <c r="O17" s="7"/>
      <c r="P17" s="82">
        <f>P15+Q15</f>
        <v>12958.71</v>
      </c>
      <c r="Q17" s="83"/>
      <c r="R17" s="82">
        <f>R15+S15</f>
        <v>67843.429999999993</v>
      </c>
      <c r="S17" s="83"/>
      <c r="T17" s="82">
        <f>T15+U15+25610.41</f>
        <v>57588.69</v>
      </c>
      <c r="U17" s="83"/>
      <c r="V17" s="12">
        <f t="shared" si="0"/>
        <v>591757.75730808196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-75922.060000000012</v>
      </c>
      <c r="G18" s="40"/>
      <c r="H18" s="31">
        <f>H16-H15+H14</f>
        <v>1.9999999998617568E-2</v>
      </c>
      <c r="I18" s="40"/>
      <c r="J18" s="31">
        <f>J16-J15+J14</f>
        <v>-14888.470000000003</v>
      </c>
      <c r="K18" s="40"/>
      <c r="L18" s="31">
        <f>L16-L15+L14</f>
        <v>-121409.31000000006</v>
      </c>
      <c r="M18" s="40"/>
      <c r="N18" s="31">
        <f>N16-N15+N14</f>
        <v>-3257.93</v>
      </c>
      <c r="O18" s="40"/>
      <c r="P18" s="84">
        <f t="shared" ref="P18:V18" si="1">P16-P15+P14</f>
        <v>-3499.79</v>
      </c>
      <c r="Q18" s="85"/>
      <c r="R18" s="84">
        <f t="shared" si="1"/>
        <v>-26528.880000000005</v>
      </c>
      <c r="S18" s="85"/>
      <c r="T18" s="84">
        <f>T16-T15+T14</f>
        <v>-13626.609999999997</v>
      </c>
      <c r="U18" s="85"/>
      <c r="V18" s="31">
        <f t="shared" si="1"/>
        <v>-259133.03000000014</v>
      </c>
    </row>
    <row r="19" spans="2:22" x14ac:dyDescent="0.25">
      <c r="C19" s="9" t="s">
        <v>6</v>
      </c>
      <c r="D19" s="71"/>
      <c r="E19" s="72"/>
      <c r="F19" s="6"/>
      <c r="G19" s="7"/>
      <c r="H19" s="6"/>
      <c r="I19" s="7"/>
      <c r="J19" s="6"/>
      <c r="K19" s="7"/>
      <c r="L19" s="6"/>
      <c r="M19" s="7"/>
      <c r="N19" s="6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-259133.03000000006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6">
        <f>'1'!H20</f>
        <v>3.54</v>
      </c>
      <c r="I20" s="7"/>
      <c r="J20" s="13">
        <f>'1'!J20</f>
        <v>44.32</v>
      </c>
      <c r="K20" s="7"/>
      <c r="L20" s="6">
        <v>33.450000000000003</v>
      </c>
      <c r="M20" s="7"/>
      <c r="N20" s="6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6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6"/>
      <c r="I21" s="7"/>
      <c r="J21" s="6"/>
      <c r="K21" s="7"/>
      <c r="L21" s="6"/>
      <c r="M21" s="7"/>
      <c r="N21" s="6"/>
      <c r="O21" s="7"/>
      <c r="P21" s="71"/>
      <c r="Q21" s="72"/>
      <c r="R21" s="71"/>
      <c r="S21" s="72"/>
      <c r="T21" s="71"/>
      <c r="U21" s="72"/>
      <c r="V21" s="6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-48.388628765989189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1441.26</v>
      </c>
      <c r="M30" s="56"/>
      <c r="N30" s="56">
        <f>'1'!N30:O30</f>
        <v>5.5</v>
      </c>
      <c r="O30" s="56"/>
      <c r="P30" s="17">
        <f>L30*N30*6</f>
        <v>47561.58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1441.26</v>
      </c>
      <c r="M31" s="56"/>
      <c r="N31" s="56">
        <f>'1'!N31:O31</f>
        <v>1</v>
      </c>
      <c r="O31" s="56"/>
      <c r="P31" s="17">
        <f t="shared" ref="P31:P42" si="2">L31*N31*6</f>
        <v>8647.56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1441.26</v>
      </c>
      <c r="M32" s="56"/>
      <c r="N32" s="56">
        <f>'1'!N32:O32</f>
        <v>0.4</v>
      </c>
      <c r="O32" s="56"/>
      <c r="P32" s="17">
        <f t="shared" si="2"/>
        <v>3459.0240000000003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1441.26</v>
      </c>
      <c r="M33" s="56"/>
      <c r="N33" s="56">
        <f>'1'!N33:O33</f>
        <v>0.6</v>
      </c>
      <c r="O33" s="56"/>
      <c r="P33" s="17">
        <f t="shared" si="2"/>
        <v>5188.5360000000001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1441.26</v>
      </c>
      <c r="M34" s="56"/>
      <c r="N34" s="56">
        <f>'1'!N34:O34</f>
        <v>1</v>
      </c>
      <c r="O34" s="56"/>
      <c r="P34" s="17">
        <f t="shared" si="2"/>
        <v>8647.56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1441.26</v>
      </c>
      <c r="M35" s="56"/>
      <c r="N35" s="61">
        <f>'1'!N35:O35</f>
        <v>2.4</v>
      </c>
      <c r="O35" s="61"/>
      <c r="P35" s="17">
        <f t="shared" si="2"/>
        <v>20754.144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1441.26</v>
      </c>
      <c r="M36" s="56"/>
      <c r="N36" s="56">
        <f>'1'!N36:O36</f>
        <v>1.4198999999999999</v>
      </c>
      <c r="O36" s="56"/>
      <c r="P36" s="17">
        <f t="shared" si="2"/>
        <v>12278.670443999999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1441.26</v>
      </c>
      <c r="M37" s="56"/>
      <c r="N37" s="61">
        <f>'1'!N37:O37</f>
        <v>1.2367534499999999</v>
      </c>
      <c r="O37" s="61"/>
      <c r="P37" s="17">
        <f t="shared" si="2"/>
        <v>10694.899664081999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1441.26</v>
      </c>
      <c r="M38" s="56"/>
      <c r="N38" s="61">
        <f>'1'!N38:O38</f>
        <v>0.3</v>
      </c>
      <c r="O38" s="61"/>
      <c r="P38" s="17">
        <f t="shared" si="2"/>
        <v>2594.268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1441.26</v>
      </c>
      <c r="M39" s="56"/>
      <c r="N39" s="56">
        <f>'1'!N39:O39</f>
        <v>0.92</v>
      </c>
      <c r="O39" s="56"/>
      <c r="P39" s="17">
        <f t="shared" si="2"/>
        <v>7955.7551999999996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1441.26</v>
      </c>
      <c r="M40" s="56"/>
      <c r="N40" s="56">
        <f>'1'!N40:O40</f>
        <v>0.05</v>
      </c>
      <c r="O40" s="56"/>
      <c r="P40" s="17">
        <f t="shared" si="2"/>
        <v>432.37800000000004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1441.26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1441.26</v>
      </c>
      <c r="M42" s="56"/>
      <c r="N42" s="66">
        <f>'1'!N42:O42</f>
        <v>1</v>
      </c>
      <c r="O42" s="66"/>
      <c r="P42" s="17">
        <f t="shared" si="2"/>
        <v>8647.56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1441.26</v>
      </c>
      <c r="M43" s="55"/>
      <c r="N43" s="87">
        <f>SUM(N30:O42)</f>
        <v>15.826653450000002</v>
      </c>
      <c r="O43" s="87"/>
      <c r="P43" s="39">
        <f>SUM(P30:P42)</f>
        <v>136861.935308082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74</v>
      </c>
      <c r="D45" s="59"/>
      <c r="E45" s="59"/>
      <c r="F45" s="59"/>
      <c r="G45" s="59"/>
      <c r="H45" s="59"/>
      <c r="I45" s="59"/>
      <c r="J45" s="59"/>
      <c r="K45" s="60"/>
      <c r="L45" s="56">
        <v>1441.26</v>
      </c>
      <c r="M45" s="56"/>
      <c r="N45" s="61">
        <f>P45/L45/6</f>
        <v>0</v>
      </c>
      <c r="O45" s="61"/>
      <c r="P45" s="17"/>
    </row>
    <row r="46" spans="2:16" hidden="1" x14ac:dyDescent="0.25">
      <c r="B46" s="4">
        <v>2</v>
      </c>
      <c r="C46" s="58" t="s">
        <v>75</v>
      </c>
      <c r="D46" s="59"/>
      <c r="E46" s="59"/>
      <c r="F46" s="59"/>
      <c r="G46" s="59"/>
      <c r="H46" s="59"/>
      <c r="I46" s="59"/>
      <c r="J46" s="59"/>
      <c r="K46" s="60"/>
      <c r="L46" s="56">
        <v>1441.26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8" t="s">
        <v>76</v>
      </c>
      <c r="D47" s="59"/>
      <c r="E47" s="59"/>
      <c r="F47" s="59"/>
      <c r="G47" s="59"/>
      <c r="H47" s="59"/>
      <c r="I47" s="59"/>
      <c r="J47" s="59"/>
      <c r="K47" s="60"/>
      <c r="L47" s="56">
        <v>1441.26</v>
      </c>
      <c r="M47" s="56"/>
      <c r="N47" s="56"/>
      <c r="O47" s="56"/>
      <c r="P47" s="17">
        <f>L47*N47*6</f>
        <v>0</v>
      </c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1441.26</v>
      </c>
      <c r="M48" s="56"/>
      <c r="N48" s="56"/>
      <c r="O48" s="56"/>
      <c r="P48" s="4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1441.26</v>
      </c>
      <c r="M49" s="55"/>
      <c r="N49" s="57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1441.26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100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20:U20"/>
    <mergeCell ref="T21:U21"/>
    <mergeCell ref="T12:U12"/>
    <mergeCell ref="T13:U13"/>
    <mergeCell ref="T14:U14"/>
    <mergeCell ref="T15:U15"/>
    <mergeCell ref="T16:U16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2:Q12"/>
    <mergeCell ref="P13:Q13"/>
    <mergeCell ref="P14:Q14"/>
    <mergeCell ref="P15:Q15"/>
    <mergeCell ref="P16:Q16"/>
    <mergeCell ref="P17:Q17"/>
    <mergeCell ref="R17:S17"/>
    <mergeCell ref="T17:U17"/>
    <mergeCell ref="D17:E17"/>
    <mergeCell ref="D18:E18"/>
    <mergeCell ref="P18:Q18"/>
    <mergeCell ref="T18:U18"/>
    <mergeCell ref="D19:E19"/>
    <mergeCell ref="T19:U19"/>
    <mergeCell ref="D20:E20"/>
    <mergeCell ref="D21:E21"/>
    <mergeCell ref="D12:E12"/>
    <mergeCell ref="D13:E13"/>
    <mergeCell ref="D14:E14"/>
    <mergeCell ref="D15:E15"/>
    <mergeCell ref="D16:E16"/>
    <mergeCell ref="C51:K51"/>
    <mergeCell ref="L51:M51"/>
    <mergeCell ref="L36:M36"/>
    <mergeCell ref="C36:K36"/>
    <mergeCell ref="C37:K37"/>
    <mergeCell ref="C38:K38"/>
    <mergeCell ref="L35:M35"/>
    <mergeCell ref="C27:K27"/>
    <mergeCell ref="L27:M27"/>
    <mergeCell ref="N51:O51"/>
    <mergeCell ref="B2:V2"/>
    <mergeCell ref="B3:V3"/>
    <mergeCell ref="B4:V4"/>
    <mergeCell ref="N45:O45"/>
    <mergeCell ref="N46:O46"/>
    <mergeCell ref="N47:O47"/>
    <mergeCell ref="N48:O48"/>
    <mergeCell ref="N49:O49"/>
    <mergeCell ref="B50:P50"/>
    <mergeCell ref="C49:K49"/>
    <mergeCell ref="C45:K45"/>
    <mergeCell ref="C46:K46"/>
    <mergeCell ref="C47:K47"/>
    <mergeCell ref="C48:K48"/>
    <mergeCell ref="L45:M45"/>
    <mergeCell ref="L46:M46"/>
    <mergeCell ref="L47:M47"/>
    <mergeCell ref="L48:M48"/>
    <mergeCell ref="L49:M49"/>
    <mergeCell ref="N39:O39"/>
    <mergeCell ref="N40:O40"/>
    <mergeCell ref="N41:O41"/>
    <mergeCell ref="N42:O42"/>
    <mergeCell ref="N43:O43"/>
    <mergeCell ref="B44:P44"/>
    <mergeCell ref="L43:M43"/>
    <mergeCell ref="L39:M39"/>
    <mergeCell ref="L40:M40"/>
    <mergeCell ref="L41:M41"/>
    <mergeCell ref="L42:M42"/>
    <mergeCell ref="C42:K42"/>
    <mergeCell ref="C43:K43"/>
    <mergeCell ref="C39:K39"/>
    <mergeCell ref="C40:K40"/>
    <mergeCell ref="N27:O27"/>
    <mergeCell ref="C28:K28"/>
    <mergeCell ref="L28:M28"/>
    <mergeCell ref="N28:O28"/>
    <mergeCell ref="B29:P29"/>
    <mergeCell ref="L30:M30"/>
    <mergeCell ref="L31:M31"/>
    <mergeCell ref="N35:O35"/>
    <mergeCell ref="N36:O36"/>
    <mergeCell ref="N37:O37"/>
    <mergeCell ref="N38:O38"/>
    <mergeCell ref="L37:M37"/>
    <mergeCell ref="L38:M38"/>
    <mergeCell ref="C41:K41"/>
    <mergeCell ref="C30:K30"/>
    <mergeCell ref="C31:K31"/>
    <mergeCell ref="C32:K32"/>
    <mergeCell ref="C33:K33"/>
    <mergeCell ref="C34:K34"/>
    <mergeCell ref="C35:K35"/>
    <mergeCell ref="N30:O30"/>
    <mergeCell ref="N31:O31"/>
    <mergeCell ref="N32:O32"/>
    <mergeCell ref="N33:O33"/>
    <mergeCell ref="N34:O34"/>
    <mergeCell ref="L32:M32"/>
    <mergeCell ref="L33:M33"/>
    <mergeCell ref="L34:M3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4"/>
  <sheetViews>
    <sheetView view="pageBreakPreview" zoomScale="84" zoomScaleNormal="84" zoomScaleSheetLayoutView="84" workbookViewId="0">
      <selection activeCell="U42" sqref="U42"/>
    </sheetView>
  </sheetViews>
  <sheetFormatPr defaultRowHeight="15.75" x14ac:dyDescent="0.25"/>
  <cols>
    <col min="1" max="1" width="3" style="1" customWidth="1"/>
    <col min="2" max="2" width="3.5703125" style="1" bestFit="1" customWidth="1"/>
    <col min="3" max="3" width="38.140625" style="1" customWidth="1"/>
    <col min="4" max="4" width="13.28515625" style="1" customWidth="1"/>
    <col min="5" max="5" width="11.7109375" style="1" customWidth="1"/>
    <col min="6" max="6" width="12" style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140625" style="1" customWidth="1"/>
    <col min="19" max="19" width="10.28515625" style="1" customWidth="1"/>
    <col min="20" max="20" width="15" style="1" customWidth="1"/>
    <col min="21" max="21" width="10.85546875" style="1" customWidth="1"/>
    <col min="22" max="22" width="13.28515625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78</v>
      </c>
    </row>
    <row r="8" spans="2:22" x14ac:dyDescent="0.25">
      <c r="C8" s="1" t="s">
        <v>33</v>
      </c>
      <c r="D8" s="2">
        <f>'1'!D8+'2'!D8+'3'!D8+'4'!D8+'5'!D8+'6'!D8+'12'!D8+'13'!D8+'14'!D8+'16'!D8+'17'!D8+'18'!D8+'19'!D8+'20'!D8+'21'!D8+'22'!D8+'23'!D8+'24'!D8+'25'!D8+'26'!D8+'27'!D8</f>
        <v>29618.38</v>
      </c>
    </row>
    <row r="9" spans="2:22" x14ac:dyDescent="0.25">
      <c r="C9" s="1" t="s">
        <v>35</v>
      </c>
      <c r="D9" s="3">
        <f>'1'!D9+'2'!D9+'3'!D9+'4'!D9+'5'!D9+'6'!D9+'12'!D9+'13'!D9+'14'!D9+'16'!D9+'17'!D9+'18'!D9+'19'!D9+'20'!D9+'21'!D9+'22'!D9+'23'!D9+'24'!D9+'25'!D9+'26'!D9+'27'!D9</f>
        <v>1599</v>
      </c>
    </row>
    <row r="10" spans="2:22" x14ac:dyDescent="0.25">
      <c r="C10" s="1" t="s">
        <v>36</v>
      </c>
      <c r="D10" s="3">
        <f>'1'!D10+'2'!D10+'3'!D10+'4'!D10+'5'!D10+'6'!D10+'12'!D10+'13'!D10+'14'!D10+'16'!D10+'17'!D10+'18'!D10+'19'!D10+'20'!D10+'21'!D10+'22'!D10+'23'!D10+'24'!D10+'25'!D10+'26'!D10+'27'!D10</f>
        <v>644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6"/>
      <c r="G13" s="7"/>
      <c r="H13" s="16"/>
      <c r="I13" s="7"/>
      <c r="J13" s="16"/>
      <c r="K13" s="7"/>
      <c r="L13" s="16"/>
      <c r="M13" s="7"/>
      <c r="N13" s="16"/>
      <c r="O13" s="7"/>
      <c r="P13" s="71"/>
      <c r="Q13" s="72"/>
      <c r="R13" s="71"/>
      <c r="S13" s="72"/>
      <c r="T13" s="71"/>
      <c r="U13" s="72"/>
      <c r="V13" s="41">
        <f>V14</f>
        <v>-6448840.7700000005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6">
        <f>'1'!F14+'2'!F14+'3'!F14+'4'!F14+'5'!F14+'6'!F14+'12'!F14+'13'!F14+'14'!F14+'16'!F14+'17'!F14+'18'!F14+'19'!F14+'20'!F14+'21'!F14+'22'!F14+'23'!F14+'24'!F14+'25'!F14+'26'!F14+'27'!F14</f>
        <v>-1290600.27</v>
      </c>
      <c r="G14" s="7"/>
      <c r="H14" s="16">
        <f>'1'!H14+'2'!H14+'3'!H14+'4'!H14+'5'!H14+'6'!H14+'12'!H14+'13'!H14+'14'!H14+'16'!H14+'17'!H14+'18'!H14+'19'!H14+'20'!H14+'21'!H14+'22'!H14+'23'!H14+'24'!H14+'25'!H14+'26'!H14+'27'!H14</f>
        <v>-255528.66</v>
      </c>
      <c r="I14" s="7"/>
      <c r="J14" s="16">
        <f>'1'!J14+'2'!J14+'3'!J14+'4'!J14+'5'!J14+'6'!J14+'12'!J14+'13'!J14+'14'!J14+'16'!J14+'17'!J14+'18'!J14+'19'!J14+'20'!J14+'21'!J14+'22'!J14+'23'!J14+'24'!J14+'25'!J14+'26'!J14+'27'!J14</f>
        <v>-267585.88</v>
      </c>
      <c r="K14" s="7"/>
      <c r="L14" s="16">
        <f>'1'!L14+'2'!L14+'3'!L14+'4'!L14+'5'!L14+'6'!L14+'12'!L14+'13'!L14+'14'!L14+'16'!L14+'17'!L14+'18'!L14+'19'!L14+'20'!L14+'21'!L14+'22'!L14+'23'!L14+'24'!L14+'25'!L14+'26'!L14+'27'!L14</f>
        <v>-3118133.9600000004</v>
      </c>
      <c r="M14" s="7"/>
      <c r="N14" s="16">
        <f>'1'!N14+'2'!N14+'3'!N14+'4'!N14+'5'!N14+'6'!N14+'12'!N14+'13'!N14+'14'!N14+'16'!N14+'17'!N14+'18'!N14+'19'!N14+'20'!N14+'21'!N14+'22'!N14+'23'!N14+'24'!N14+'25'!N14+'26'!N14+'27'!N14</f>
        <v>-79663.739999999991</v>
      </c>
      <c r="O14" s="7"/>
      <c r="P14" s="71">
        <f>'1'!P14+'2'!P14+'3'!P14+'4'!P14+'5'!P14+'6'!P14+'12'!P14+'13'!P14+'14'!P14+'16'!P14+'17'!P14+'18'!P14+'19'!P14+'20'!P14+'21'!P14+'22'!P14+'23'!P14+'24'!P14+'25'!P14+'26'!P14+'27'!P14</f>
        <v>-182037.04000000004</v>
      </c>
      <c r="Q14" s="72"/>
      <c r="R14" s="71">
        <f>'1'!R14+'2'!R14+'3'!R14+'4'!R14+'5'!R14+'6'!R14+'12'!R14+'13'!R14+'14'!R14+'16'!R14+'17'!R14+'18'!R14+'19'!R14+'20'!R14+'21'!R14+'22'!R14+'23'!R14+'24'!R14+'25'!R14+'26'!R14+'27'!R14</f>
        <v>-832550.20000000019</v>
      </c>
      <c r="S14" s="72"/>
      <c r="T14" s="71">
        <f>'1'!T14+'2'!T14+'3'!T14+'4'!T14+'5'!T14+'6'!T14+'12'!T14+'13'!T14+'14'!T14+'16'!T14+'17'!T14+'18'!T14+'19'!T14+'20'!T14+'21'!T14+'22'!T14+'23'!T14+'24'!T14+'25'!T14+'26'!T14+'27'!T14</f>
        <v>-422741.51999999996</v>
      </c>
      <c r="U14" s="72"/>
      <c r="V14" s="23">
        <f>F14+H14+J14+L14+N14+P14+Q14+R14+S14+T14+U14+0.5</f>
        <v>-6448840.7700000005</v>
      </c>
    </row>
    <row r="15" spans="2:22" x14ac:dyDescent="0.25">
      <c r="C15" s="9" t="s">
        <v>3</v>
      </c>
      <c r="D15" s="71"/>
      <c r="E15" s="72"/>
      <c r="F15" s="16">
        <f>'1'!F15+'2'!F15+'3'!F15+'4'!F15+'5'!F15+'6'!F15+'12'!F15+'13'!F15+'14'!F15+'16'!F15+'17'!F15+'18'!F15+'19'!F15+'20'!F15+'21'!F15+'22'!F15+'23'!F15+'24'!F15+'25'!F15+'26'!F15+'27'!F15</f>
        <v>2211646.1100000003</v>
      </c>
      <c r="G15" s="7"/>
      <c r="H15" s="14">
        <f>'1'!H15+'2'!H15+'3'!H15+'4'!H15+'5'!H15+'6'!H15+'12'!H15+'13'!H15+'14'!H15+'16'!H15+'17'!H15+'18'!H15+'19'!H15+'20'!H15+'21'!H15+'22'!H15+'23'!H15+'24'!H15+'25'!H15+'26'!H15+'27'!H15</f>
        <v>0</v>
      </c>
      <c r="I15" s="7"/>
      <c r="J15" s="16">
        <f>'1'!J15+'2'!J15+'3'!J15+'4'!J15+'5'!J15+'6'!J15+'12'!J15+'13'!J15+'14'!J15+'16'!J15+'17'!J15+'18'!J15+'19'!J15+'20'!J15+'21'!J15+'22'!J15+'23'!J15+'24'!J15+'25'!J15+'26'!J15+'27'!J15</f>
        <v>401384.72</v>
      </c>
      <c r="K15" s="7"/>
      <c r="L15" s="16">
        <f>'1'!L15+'2'!L15+'3'!L15+'4'!L15+'5'!L15+'6'!L15+'12'!L15+'13'!L15+'14'!L15+'16'!L15+'17'!L15+'18'!L15+'19'!L15+'20'!L15+'21'!L15+'22'!L15+'23'!L15+'24'!L15+'25'!L15+'26'!L15+'27'!L15</f>
        <v>5490051.2999999998</v>
      </c>
      <c r="M15" s="7"/>
      <c r="N15" s="16">
        <f>'1'!N15+'2'!N15+'3'!N15+'4'!N15+'5'!N15+'6'!N15+'12'!N15+'13'!N15+'14'!N15+'16'!N15+'17'!N15+'18'!N15+'19'!N15+'20'!N15+'21'!N15+'22'!N15+'23'!N15+'24'!N15+'25'!N15+'26'!N15+'27'!N15</f>
        <v>159942.14000000001</v>
      </c>
      <c r="O15" s="7"/>
      <c r="P15" s="82">
        <f>'1'!P15+'2'!P15+'3'!P15+'4'!P15+'5'!P15+'6'!P15+'12'!P15+'13'!P15+'14'!P15+'16'!P15+'17'!P15+'18'!P15+'19'!P15+'20'!P15+'21'!P15+'22'!P15+'23'!P15+'24'!P15+'25'!P15+'26'!P15+'27'!P15</f>
        <v>271154.90999999997</v>
      </c>
      <c r="Q15" s="83"/>
      <c r="R15" s="71">
        <f>'1'!R15+'2'!R15+'3'!R15+'4'!R15+'5'!R15+'6'!R15+'12'!R15+'13'!R15+'14'!R15+'16'!R15+'17'!R15+'18'!R15+'19'!R15+'20'!R15+'21'!R15+'22'!R15+'23'!R15+'24'!R15+'25'!R15+'26'!R15+'27'!R15</f>
        <v>1503761.89</v>
      </c>
      <c r="S15" s="72"/>
      <c r="T15" s="82">
        <f>'1'!T15+'2'!T15+'3'!T15+'4'!T15+'5'!T15+'6'!T15+'12'!T15+'13'!T15+'14'!T15+'16'!T15+'17'!T15+'18'!T15+'19'!T15+'20'!T15+'21'!T15+'22'!T15+'23'!T15+'24'!T15+'25'!T15+'26'!T15+'27'!T15</f>
        <v>648566.71000000008</v>
      </c>
      <c r="U15" s="83"/>
      <c r="V15" s="16">
        <f>F15+H15+J15+L15+N15+P15+Q15+R15+S15+T15+U15</f>
        <v>10686507.780000001</v>
      </c>
    </row>
    <row r="16" spans="2:22" x14ac:dyDescent="0.25">
      <c r="C16" s="9" t="s">
        <v>4</v>
      </c>
      <c r="D16" s="71"/>
      <c r="E16" s="72"/>
      <c r="F16" s="16">
        <f>'1'!F16+'2'!F16+'3'!F16+'4'!F16+'5'!F16+'6'!F16+'12'!F16+'13'!F16+'14'!F16+'16'!F16+'17'!F16+'18'!F16+'19'!F16+'20'!F16+'21'!F16+'22'!F16+'23'!F16+'24'!F16+'25'!F16+'26'!F16+'27'!F16</f>
        <v>1811495.68</v>
      </c>
      <c r="G16" s="7"/>
      <c r="H16" s="14">
        <f>'1'!H16+'2'!H16+'3'!H16+'4'!H16+'5'!H16+'6'!H16+'12'!H16+'13'!H16+'14'!H16+'16'!H16+'17'!H16+'18'!H16+'19'!H16+'20'!H16+'21'!H16+'22'!H16+'23'!H16+'24'!H16+'25'!H16+'26'!H16+'27'!H16</f>
        <v>255528.59000000003</v>
      </c>
      <c r="I16" s="7"/>
      <c r="J16" s="16">
        <f>'1'!J16+'2'!J16+'3'!J16+'4'!J16+'5'!J16+'6'!J16+'12'!J16+'13'!J16+'14'!J16+'16'!J16+'17'!J16+'18'!J16+'19'!J16+'20'!J16+'21'!J16+'22'!J16+'23'!J16+'24'!J16+'25'!J16+'26'!J16+'27'!J16</f>
        <v>358163.68000000005</v>
      </c>
      <c r="K16" s="7"/>
      <c r="L16" s="16">
        <f>'1'!L16+'2'!L16+'3'!L16+'4'!L16+'5'!L16+'6'!L16+'12'!L16+'13'!L16+'14'!L16+'16'!L16+'17'!L16+'18'!L16+'19'!L16+'20'!L16+'21'!L16+'22'!L16+'23'!L16+'24'!L16+'25'!L16+'26'!L16+'27'!L16</f>
        <v>5816669.2700000014</v>
      </c>
      <c r="M16" s="7"/>
      <c r="N16" s="14">
        <f>'1'!N16+'2'!N16+'3'!N16+'4'!N16+'5'!N16+'6'!N16+'12'!N16+'13'!N16+'14'!N16+'16'!N16+'17'!N16+'18'!N16+'19'!N16+'20'!N16+'21'!N16+'22'!N16+'23'!N16+'24'!N16+'25'!N16+'26'!N16+'27'!N16</f>
        <v>134731.87999999998</v>
      </c>
      <c r="O16" s="7"/>
      <c r="P16" s="82">
        <f>'1'!P16+'2'!P16+'3'!P16+'4'!P16+'5'!P16+'6'!P16+'12'!P16+'13'!P16+'14'!P16+'16'!P16+'17'!P16+'18'!P16+'19'!P16+'20'!P16+'21'!P16+'22'!P16+'23'!P16+'24'!P16+'25'!P16+'26'!P16+'27'!P16</f>
        <v>241389.74</v>
      </c>
      <c r="Q16" s="83"/>
      <c r="R16" s="71">
        <f>'1'!R16+'2'!R16+'3'!R16+'4'!R16+'5'!R16+'6'!R16+'12'!R16+'13'!R16+'14'!R16+'16'!R16+'17'!R16+'18'!R16+'19'!R16+'20'!R16+'21'!R16+'22'!R16+'23'!R16+'24'!R16+'25'!R16+'26'!R16+'27'!R16</f>
        <v>1303332.5899999999</v>
      </c>
      <c r="S16" s="72"/>
      <c r="T16" s="82">
        <f>'1'!T16+'2'!T16+'3'!T16+'4'!T16+'5'!T16+'6'!T16+'12'!T16+'13'!T16+'14'!T16+'16'!T16+'17'!T16+'18'!T16+'19'!T16+'20'!T16+'21'!T16+'22'!T16+'23'!T16+'24'!T16+'25'!T16+'26'!T16+'27'!T16</f>
        <v>619767.55000000005</v>
      </c>
      <c r="U16" s="83"/>
      <c r="V16" s="23">
        <f>F16+H16+J16+L16+N16+P16+Q16+R16+S16+T16+U16</f>
        <v>10541078.980000002</v>
      </c>
    </row>
    <row r="17" spans="2:22" ht="31.5" x14ac:dyDescent="0.25">
      <c r="C17" s="10" t="s">
        <v>5</v>
      </c>
      <c r="D17" s="71"/>
      <c r="E17" s="72"/>
      <c r="F17" s="45">
        <f>'1'!F17+'2'!F17+'3'!F17+'4'!F17+'5'!F17+'6'!F17+'12'!F17+'13'!F17+'14'!F17+'16'!F17+'17'!F17+'18'!F17+'19'!F17+'20'!F17+'21'!F17+'22'!F17+'23'!F17+'24'!F17+'25'!F17+'26'!F17+'27'!F17</f>
        <v>2812559.0160624664</v>
      </c>
      <c r="G17" s="7"/>
      <c r="H17" s="14">
        <f>'1'!H17+'2'!H17+'3'!H17+'4'!H17+'5'!H17+'6'!H17+'12'!H17+'13'!H17+'14'!H17+'16'!H17+'17'!H17+'18'!H17+'19'!H17+'20'!H17+'21'!H17+'22'!H17+'23'!H17+'24'!H17+'25'!H17+'26'!H17+'27'!H17</f>
        <v>214300</v>
      </c>
      <c r="I17" s="7"/>
      <c r="J17" s="16">
        <f>'1'!J17+'2'!J17+'3'!J17+'4'!J17+'5'!J17+'6'!J17+'12'!J17+'13'!J17+'14'!J17+'16'!J17+'17'!J17+'18'!J17+'19'!J17+'20'!J17+'21'!J17+'22'!J17+'23'!J17+'24'!J17+'25'!J17+'26'!J17+'27'!J17</f>
        <v>401384.72</v>
      </c>
      <c r="K17" s="7"/>
      <c r="L17" s="16">
        <f>'1'!L17+'2'!L17+'3'!L17+'4'!L17+'5'!L17+'6'!L17+'12'!L17+'13'!L17+'14'!L17+'16'!L17+'17'!L17+'18'!L17+'19'!L17+'20'!L17+'21'!L17+'22'!L17+'23'!L17+'24'!L17+'25'!L17+'26'!L17+'27'!L17</f>
        <v>5561705.3796000006</v>
      </c>
      <c r="M17" s="7"/>
      <c r="N17" s="14">
        <f>'1'!N17+'2'!N17+'3'!N17+'4'!N17+'5'!N17+'6'!N17+'12'!N17+'13'!N17+'14'!N17+'16'!N17+'17'!N17+'18'!N17+'19'!N17+'20'!N17+'21'!N17+'22'!N17+'23'!N17+'24'!N17+'25'!N17+'26'!N17+'27'!N17</f>
        <v>82263.330000000031</v>
      </c>
      <c r="O17" s="7"/>
      <c r="P17" s="82">
        <f>'1'!P17:Q17+'2'!P17:Q17+'3'!P17:Q17+'4'!P17:Q17+'5'!P17:Q17+'6'!P17:Q17+'12'!P17:Q17+'13'!P17:Q17+'14'!P17:Q17+'16'!P17:Q17+'17'!P17:Q17+'18'!P17:Q17+'19'!P17:Q17+'20'!P17:Q17+'21'!P17:Q17+'22'!P17:Q17+'23'!P17:Q17+'24'!P17:Q17+'25'!P17:Q17+'26'!P17:Q17+'27'!P17:Q17</f>
        <v>271154.90999999997</v>
      </c>
      <c r="Q17" s="83"/>
      <c r="R17" s="82">
        <f>'1'!R17:S17+'2'!R17:S17+'3'!R17:S17+'4'!R17:S17+'5'!R17:S17+'6'!R17:S17+'12'!R17:S17+'13'!R17:S17+'14'!R17:S17+'16'!R17:S17+'17'!R17:S17+'18'!R17:S17+'19'!R17:S17+'20'!R17:S17+'21'!R17:S17+'22'!R17:S17+'23'!R17:S17+'24'!R17:S17+'25'!R17:S17+'26'!R17:S17+'27'!R17:S17</f>
        <v>1503761.89</v>
      </c>
      <c r="S17" s="83"/>
      <c r="T17" s="82">
        <f>'1'!T17:U17+'2'!T17:U17+'3'!T17:U17+'4'!T17:U17+'5'!T17:U17+'6'!T17:U17+'12'!T17:U17+'13'!T17:U17+'14'!T17:U17+'16'!T17:U17+'17'!T17:U17+'18'!T17:U17+'19'!T17:U17+'20'!T17:U17+'21'!T17:U17+'22'!T17:U17+'23'!T17:U17+'24'!T17:U17+'25'!T17:U17+'26'!T17:U17+'27'!T17:U17</f>
        <v>1213674.5889000001</v>
      </c>
      <c r="U17" s="83"/>
      <c r="V17" s="14">
        <f>F17+H17+J17+L17+N17+P17+Q17+R17+S17+T17+U17</f>
        <v>12060803.834562467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-1690750.7000000004</v>
      </c>
      <c r="G18" s="32"/>
      <c r="H18" s="33">
        <f>H16-H15+H14</f>
        <v>-6.9999999977881089E-2</v>
      </c>
      <c r="I18" s="32"/>
      <c r="J18" s="31">
        <f>J16-J15+J14</f>
        <v>-310806.91999999993</v>
      </c>
      <c r="K18" s="32"/>
      <c r="L18" s="33">
        <f>L16-L15+L14</f>
        <v>-2791515.9899999988</v>
      </c>
      <c r="M18" s="32"/>
      <c r="N18" s="31">
        <f>N16-N15+N14</f>
        <v>-104874.00000000003</v>
      </c>
      <c r="O18" s="32"/>
      <c r="P18" s="84">
        <f t="shared" ref="P18:V18" si="0">P16-P15+P14</f>
        <v>-211802.21000000002</v>
      </c>
      <c r="Q18" s="85"/>
      <c r="R18" s="84">
        <f t="shared" si="0"/>
        <v>-1032979.5000000002</v>
      </c>
      <c r="S18" s="85"/>
      <c r="T18" s="84">
        <f t="shared" si="0"/>
        <v>-451540.68</v>
      </c>
      <c r="U18" s="85"/>
      <c r="V18" s="43">
        <f t="shared" si="0"/>
        <v>-6594269.5699999994</v>
      </c>
    </row>
    <row r="19" spans="2:22" x14ac:dyDescent="0.25">
      <c r="C19" s="9" t="s">
        <v>6</v>
      </c>
      <c r="D19" s="71"/>
      <c r="E19" s="72"/>
      <c r="F19" s="16"/>
      <c r="G19" s="7"/>
      <c r="H19" s="16"/>
      <c r="I19" s="7"/>
      <c r="J19" s="16"/>
      <c r="K19" s="7"/>
      <c r="L19" s="16"/>
      <c r="M19" s="7"/>
      <c r="N19" s="16"/>
      <c r="O19" s="7"/>
      <c r="P19" s="71"/>
      <c r="Q19" s="72"/>
      <c r="R19" s="71"/>
      <c r="S19" s="72"/>
      <c r="T19" s="71"/>
      <c r="U19" s="72"/>
      <c r="V19" s="41">
        <f>F18+H18+J18+L18+N18+P18+Q18+R18+S18+T18+U18</f>
        <v>-6594270.0699999994</v>
      </c>
    </row>
    <row r="20" spans="2:22" x14ac:dyDescent="0.25">
      <c r="C20" s="9" t="s">
        <v>44</v>
      </c>
      <c r="D20" s="71"/>
      <c r="E20" s="72"/>
      <c r="F20" s="16">
        <f>'1'!F20</f>
        <v>11.83</v>
      </c>
      <c r="G20" s="7"/>
      <c r="H20" s="16">
        <f>'1'!H20</f>
        <v>3.54</v>
      </c>
      <c r="I20" s="7"/>
      <c r="J20" s="16">
        <f>'1'!J20</f>
        <v>44.32</v>
      </c>
      <c r="K20" s="7"/>
      <c r="L20" s="16"/>
      <c r="M20" s="7"/>
      <c r="N20" s="16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6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6"/>
      <c r="I21" s="7"/>
      <c r="J21" s="16"/>
      <c r="K21" s="7"/>
      <c r="L21" s="16"/>
      <c r="M21" s="7"/>
      <c r="N21" s="16"/>
      <c r="O21" s="7"/>
      <c r="P21" s="71"/>
      <c r="Q21" s="72"/>
      <c r="R21" s="71"/>
      <c r="S21" s="72"/>
      <c r="T21" s="71"/>
      <c r="U21" s="72"/>
      <c r="V21" s="16"/>
    </row>
    <row r="22" spans="2:22" x14ac:dyDescent="0.25">
      <c r="F22" s="46">
        <f>F17/F21/6</f>
        <v>29618.38</v>
      </c>
    </row>
    <row r="23" spans="2:22" x14ac:dyDescent="0.25">
      <c r="C23" s="5" t="s">
        <v>11</v>
      </c>
      <c r="F23" s="50">
        <f>F17/D8/6</f>
        <v>15.826653450000002</v>
      </c>
    </row>
    <row r="24" spans="2:22" x14ac:dyDescent="0.25">
      <c r="C24" s="1" t="s">
        <v>12</v>
      </c>
      <c r="J24" s="34">
        <f>V19/V15*100</f>
        <v>-61.706501373079981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f>D8</f>
        <v>29618.38</v>
      </c>
      <c r="M30" s="56"/>
      <c r="N30" s="56">
        <f>'1'!N30:O30</f>
        <v>5.5</v>
      </c>
      <c r="O30" s="56"/>
      <c r="P30" s="17">
        <f>L30*N30*6</f>
        <v>977406.54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f>L30</f>
        <v>29618.38</v>
      </c>
      <c r="M31" s="56"/>
      <c r="N31" s="56">
        <f>'1'!N31:O31</f>
        <v>1</v>
      </c>
      <c r="O31" s="56"/>
      <c r="P31" s="17">
        <f t="shared" ref="P31:P42" si="1">L31*N31*6</f>
        <v>177710.28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f>L31</f>
        <v>29618.38</v>
      </c>
      <c r="M32" s="56"/>
      <c r="N32" s="56">
        <f>'1'!N32:O32</f>
        <v>0.4</v>
      </c>
      <c r="O32" s="56"/>
      <c r="P32" s="17">
        <f t="shared" si="1"/>
        <v>71084.112000000008</v>
      </c>
    </row>
    <row r="33" spans="2:17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f>L31</f>
        <v>29618.38</v>
      </c>
      <c r="M33" s="56"/>
      <c r="N33" s="56">
        <f>'1'!N33:O33</f>
        <v>0.6</v>
      </c>
      <c r="O33" s="56"/>
      <c r="P33" s="17">
        <f t="shared" si="1"/>
        <v>106626.16799999999</v>
      </c>
    </row>
    <row r="34" spans="2:17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f t="shared" ref="L34:L43" si="2">L33</f>
        <v>29618.38</v>
      </c>
      <c r="M34" s="56"/>
      <c r="N34" s="56">
        <f>'1'!N34:O34</f>
        <v>1</v>
      </c>
      <c r="O34" s="56"/>
      <c r="P34" s="17">
        <f t="shared" si="1"/>
        <v>177710.28</v>
      </c>
    </row>
    <row r="35" spans="2:17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f t="shared" si="2"/>
        <v>29618.38</v>
      </c>
      <c r="M35" s="56"/>
      <c r="N35" s="61">
        <f>'1'!N35:O35</f>
        <v>2.4</v>
      </c>
      <c r="O35" s="61"/>
      <c r="P35" s="17">
        <f t="shared" si="1"/>
        <v>426504.67199999996</v>
      </c>
    </row>
    <row r="36" spans="2:17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f t="shared" si="2"/>
        <v>29618.38</v>
      </c>
      <c r="M36" s="56"/>
      <c r="N36" s="56">
        <f>'1'!N36:O36</f>
        <v>1.4198999999999999</v>
      </c>
      <c r="O36" s="56"/>
      <c r="P36" s="17">
        <f t="shared" si="1"/>
        <v>252330.82657199999</v>
      </c>
    </row>
    <row r="37" spans="2:17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f t="shared" si="2"/>
        <v>29618.38</v>
      </c>
      <c r="M37" s="56"/>
      <c r="N37" s="61">
        <f>'1'!N37:O37</f>
        <v>1.2367534499999999</v>
      </c>
      <c r="O37" s="61"/>
      <c r="P37" s="17">
        <f t="shared" si="1"/>
        <v>219783.80189046601</v>
      </c>
    </row>
    <row r="38" spans="2:17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f t="shared" si="2"/>
        <v>29618.38</v>
      </c>
      <c r="M38" s="56"/>
      <c r="N38" s="61">
        <f>'1'!N38:O38</f>
        <v>0.3</v>
      </c>
      <c r="O38" s="61"/>
      <c r="P38" s="17">
        <f t="shared" si="1"/>
        <v>53313.083999999995</v>
      </c>
    </row>
    <row r="39" spans="2:17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f t="shared" si="2"/>
        <v>29618.38</v>
      </c>
      <c r="M39" s="56"/>
      <c r="N39" s="56">
        <f>'1'!N39:O39</f>
        <v>0.92</v>
      </c>
      <c r="O39" s="56"/>
      <c r="P39" s="17">
        <f t="shared" si="1"/>
        <v>163493.45760000002</v>
      </c>
    </row>
    <row r="40" spans="2:17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f t="shared" si="2"/>
        <v>29618.38</v>
      </c>
      <c r="M40" s="56"/>
      <c r="N40" s="56">
        <f>'1'!N40:O40</f>
        <v>0.05</v>
      </c>
      <c r="O40" s="56"/>
      <c r="P40" s="17">
        <f t="shared" si="1"/>
        <v>8885.514000000001</v>
      </c>
    </row>
    <row r="41" spans="2:17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f t="shared" si="2"/>
        <v>29618.38</v>
      </c>
      <c r="M41" s="56"/>
      <c r="N41" s="56">
        <f>'1'!N41:O41</f>
        <v>0</v>
      </c>
      <c r="O41" s="56"/>
      <c r="P41" s="17">
        <f t="shared" si="1"/>
        <v>0</v>
      </c>
    </row>
    <row r="42" spans="2:17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f t="shared" si="2"/>
        <v>29618.38</v>
      </c>
      <c r="M42" s="56"/>
      <c r="N42" s="61">
        <f>'1'!N42:O42</f>
        <v>1</v>
      </c>
      <c r="O42" s="61"/>
      <c r="P42" s="17">
        <f t="shared" si="1"/>
        <v>177710.28</v>
      </c>
    </row>
    <row r="43" spans="2:17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f t="shared" si="2"/>
        <v>29618.38</v>
      </c>
      <c r="M43" s="55"/>
      <c r="N43" s="87">
        <f>SUM(N30:O42)</f>
        <v>15.826653450000002</v>
      </c>
      <c r="O43" s="87"/>
      <c r="P43" s="39">
        <f>SUM(P30:P42)</f>
        <v>2812559.0160624655</v>
      </c>
      <c r="Q43" s="25"/>
    </row>
    <row r="44" spans="2:17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7" hidden="1" x14ac:dyDescent="0.25">
      <c r="B45" s="4">
        <v>1</v>
      </c>
      <c r="C45" s="58" t="s">
        <v>74</v>
      </c>
      <c r="D45" s="59"/>
      <c r="E45" s="59"/>
      <c r="F45" s="59"/>
      <c r="G45" s="59"/>
      <c r="H45" s="59"/>
      <c r="I45" s="59"/>
      <c r="J45" s="59"/>
      <c r="K45" s="60"/>
      <c r="L45" s="56">
        <f>L43</f>
        <v>29618.38</v>
      </c>
      <c r="M45" s="56"/>
      <c r="N45" s="66">
        <f>P45/L45/6</f>
        <v>0</v>
      </c>
      <c r="O45" s="66"/>
      <c r="P45" s="17">
        <f>'1'!P45+'13'!P45+'14'!P45+'27'!P45</f>
        <v>0</v>
      </c>
    </row>
    <row r="46" spans="2:17" hidden="1" x14ac:dyDescent="0.25">
      <c r="B46" s="4">
        <v>1</v>
      </c>
      <c r="C46" s="58" t="s">
        <v>75</v>
      </c>
      <c r="D46" s="59"/>
      <c r="E46" s="59"/>
      <c r="F46" s="59"/>
      <c r="G46" s="59"/>
      <c r="H46" s="59"/>
      <c r="I46" s="59"/>
      <c r="J46" s="59"/>
      <c r="K46" s="60"/>
      <c r="L46" s="56">
        <f>L45</f>
        <v>29618.38</v>
      </c>
      <c r="M46" s="56"/>
      <c r="N46" s="66">
        <f>P46/L46/6</f>
        <v>0</v>
      </c>
      <c r="O46" s="66"/>
      <c r="P46" s="17">
        <f>'1'!P46+'2'!P45+'3'!P45+'4'!P45+'5'!P45+'6'!P45+'12'!P45+'13'!P46+'14'!P46+'16'!P45+'17'!P45+'18'!P45+'19'!P45+'20'!P45+'21'!P45+'22'!P45+'23'!P45+'24'!P45+'25'!P45+'26'!P45+'27'!P46</f>
        <v>0</v>
      </c>
    </row>
    <row r="47" spans="2:17" hidden="1" x14ac:dyDescent="0.25">
      <c r="B47" s="4">
        <v>2</v>
      </c>
      <c r="C47" s="58" t="s">
        <v>76</v>
      </c>
      <c r="D47" s="59"/>
      <c r="E47" s="59"/>
      <c r="F47" s="59"/>
      <c r="G47" s="59"/>
      <c r="H47" s="59"/>
      <c r="I47" s="59"/>
      <c r="J47" s="59"/>
      <c r="K47" s="60"/>
      <c r="L47" s="56">
        <f>L46</f>
        <v>29618.38</v>
      </c>
      <c r="M47" s="56"/>
      <c r="N47" s="66">
        <f t="shared" ref="N47:N49" si="3">P47/L47/6</f>
        <v>0</v>
      </c>
      <c r="O47" s="66"/>
      <c r="P47" s="17">
        <f>'1'!P47+'2'!P46+'3'!P46+'4'!P46+'5'!P46+'6'!P46+'12'!P46+'13'!P47+'14'!P47+'16'!P46+'17'!P46+'18'!P46+'19'!P46+'20'!P46+'21'!P46+'22'!P46+'23'!P46+'24'!P46+'25'!P46+'26'!P46+'27'!P47</f>
        <v>0</v>
      </c>
    </row>
    <row r="48" spans="2:17" ht="15.75" hidden="1" customHeight="1" x14ac:dyDescent="0.25">
      <c r="B48" s="4">
        <v>3</v>
      </c>
      <c r="C48" s="58" t="s">
        <v>94</v>
      </c>
      <c r="D48" s="59"/>
      <c r="E48" s="59"/>
      <c r="F48" s="59"/>
      <c r="G48" s="59"/>
      <c r="H48" s="59"/>
      <c r="I48" s="59"/>
      <c r="J48" s="59"/>
      <c r="K48" s="60"/>
      <c r="L48" s="56">
        <v>1441.26</v>
      </c>
      <c r="M48" s="56"/>
      <c r="N48" s="61">
        <f t="shared" si="3"/>
        <v>0</v>
      </c>
      <c r="O48" s="61"/>
      <c r="P48" s="17">
        <f>'1'!P48+'2'!P47+'3'!P47+'4'!P47+'5'!P47+'6'!P47+'12'!P47+'13'!P48+'14'!P48+'16'!P47+'17'!P47+'18'!P47+'19'!P47+'20'!P47+'21'!P47+'22'!P47+'23'!P47+'24'!P47+'25'!P47+'26'!P47+'27'!P48</f>
        <v>0</v>
      </c>
    </row>
    <row r="49" spans="2:17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f>L47</f>
        <v>29618.38</v>
      </c>
      <c r="M49" s="55"/>
      <c r="N49" s="87">
        <f t="shared" si="3"/>
        <v>0</v>
      </c>
      <c r="O49" s="87"/>
      <c r="P49" s="39">
        <f>SUM(P45:P48)</f>
        <v>0</v>
      </c>
      <c r="Q49" s="25"/>
    </row>
    <row r="50" spans="2:17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7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f>L49</f>
        <v>29618.38</v>
      </c>
      <c r="M51" s="55"/>
      <c r="N51" s="55">
        <v>0</v>
      </c>
      <c r="O51" s="55"/>
      <c r="P51" s="38">
        <f>'1'!P51+'2'!P51+'3'!P51+'4'!P51+'5'!P51+'6'!P51+'12'!P51+'13'!P51+'14'!P51+'16'!P51+'17'!P51+'18'!P51+'19'!P51+'20'!P51+'21'!P51+'22'!P52+'23'!P52+'24'!P51+'25'!P51+'26'!P51+'27'!P51</f>
        <v>214300</v>
      </c>
    </row>
    <row r="52" spans="2:17" x14ac:dyDescent="0.25">
      <c r="P52" s="48"/>
    </row>
    <row r="54" spans="2:17" x14ac:dyDescent="0.25">
      <c r="C54" s="1" t="s">
        <v>38</v>
      </c>
    </row>
    <row r="55" spans="2:17" x14ac:dyDescent="0.25">
      <c r="C55" s="1" t="s">
        <v>39</v>
      </c>
    </row>
    <row r="56" spans="2:17" x14ac:dyDescent="0.25">
      <c r="C56" s="4" t="s">
        <v>100</v>
      </c>
      <c r="D56" s="22">
        <f>N43</f>
        <v>15.826653450000002</v>
      </c>
    </row>
    <row r="59" spans="2:17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7" ht="24.75" customHeight="1" x14ac:dyDescent="0.25">
      <c r="C62" s="1" t="s">
        <v>42</v>
      </c>
      <c r="D62" s="2"/>
      <c r="E62" s="2"/>
      <c r="F62" s="1" t="s">
        <v>43</v>
      </c>
    </row>
    <row r="63" spans="2:17" ht="25.5" customHeight="1" x14ac:dyDescent="0.25">
      <c r="D63" s="2"/>
      <c r="E63" s="2"/>
      <c r="F63" s="1" t="s">
        <v>43</v>
      </c>
    </row>
    <row r="64" spans="2:17" ht="24.75" customHeight="1" x14ac:dyDescent="0.25">
      <c r="D64" s="2"/>
      <c r="E64" s="2"/>
      <c r="F64" s="1" t="s">
        <v>43</v>
      </c>
    </row>
  </sheetData>
  <mergeCells count="112">
    <mergeCell ref="T12:U12"/>
    <mergeCell ref="T13:U13"/>
    <mergeCell ref="T14:U14"/>
    <mergeCell ref="T15:U15"/>
    <mergeCell ref="T16:U16"/>
    <mergeCell ref="R19:S19"/>
    <mergeCell ref="R20:S20"/>
    <mergeCell ref="R21:S21"/>
    <mergeCell ref="P13:Q13"/>
    <mergeCell ref="P14:Q14"/>
    <mergeCell ref="P15:Q15"/>
    <mergeCell ref="P16:Q16"/>
    <mergeCell ref="P18:Q18"/>
    <mergeCell ref="T18:U18"/>
    <mergeCell ref="T19:U19"/>
    <mergeCell ref="T20:U20"/>
    <mergeCell ref="T21:U21"/>
    <mergeCell ref="D20:E20"/>
    <mergeCell ref="B2:V2"/>
    <mergeCell ref="B3:V3"/>
    <mergeCell ref="B4:V4"/>
    <mergeCell ref="D12:E12"/>
    <mergeCell ref="D13:E13"/>
    <mergeCell ref="D14:E14"/>
    <mergeCell ref="D15:E15"/>
    <mergeCell ref="D16:E16"/>
    <mergeCell ref="D17:E17"/>
    <mergeCell ref="D18:E18"/>
    <mergeCell ref="D19:E19"/>
    <mergeCell ref="P17:Q17"/>
    <mergeCell ref="R17:S17"/>
    <mergeCell ref="T17:U17"/>
    <mergeCell ref="P12:Q12"/>
    <mergeCell ref="P19:Q19"/>
    <mergeCell ref="P20:Q20"/>
    <mergeCell ref="R12:S12"/>
    <mergeCell ref="R13:S13"/>
    <mergeCell ref="R14:S14"/>
    <mergeCell ref="R15:S15"/>
    <mergeCell ref="R16:S16"/>
    <mergeCell ref="R18:S18"/>
    <mergeCell ref="D21:E21"/>
    <mergeCell ref="C27:K27"/>
    <mergeCell ref="L27:M27"/>
    <mergeCell ref="N27:O27"/>
    <mergeCell ref="C28:K28"/>
    <mergeCell ref="L28:M28"/>
    <mergeCell ref="N28:O28"/>
    <mergeCell ref="B29:P29"/>
    <mergeCell ref="C30:K30"/>
    <mergeCell ref="L30:M30"/>
    <mergeCell ref="N30:O30"/>
    <mergeCell ref="P21:Q21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B50:P50"/>
    <mergeCell ref="C51:K51"/>
    <mergeCell ref="L51:M51"/>
    <mergeCell ref="N51:O51"/>
    <mergeCell ref="C47:K47"/>
    <mergeCell ref="L47:M47"/>
    <mergeCell ref="N47:O47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A3" sqref="A3"/>
    </sheetView>
  </sheetViews>
  <sheetFormatPr defaultRowHeight="15" x14ac:dyDescent="0.25"/>
  <sheetData>
    <row r="3" spans="1:2" x14ac:dyDescent="0.25">
      <c r="A3" s="19">
        <f>'1'!P43+'1'!P49+'2'!P43+'2'!P49+'3'!P43+'3'!P49+'4'!P43+'4'!P49+'5'!P43+'5'!P49+'6'!P43+'6'!P49+'12'!P43+'12'!P49+'13'!P43+'13'!P49+'14'!P43+'14'!P49+'16'!P43+'16'!P49+'17'!P43+'17'!P49+'18'!P43+'18'!P49+'19'!P43+'19'!P49+'20'!P43+'20'!P49+'21'!P43+'21'!P49+'22'!P43+'22'!P49+'23'!P43+'23'!P49+'24'!P43+'24'!P49+'25'!P43+'25'!P49+'26'!P43+'26'!P49+'27'!P43+'27'!P49</f>
        <v>2812559.0160624664</v>
      </c>
      <c r="B3" t="s">
        <v>77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21"/>
  <sheetViews>
    <sheetView zoomScaleNormal="100" workbookViewId="0">
      <selection activeCell="D22" sqref="D22"/>
    </sheetView>
  </sheetViews>
  <sheetFormatPr defaultRowHeight="15" x14ac:dyDescent="0.25"/>
  <cols>
    <col min="3" max="3" width="30.140625" bestFit="1" customWidth="1"/>
    <col min="4" max="4" width="9.5703125" bestFit="1" customWidth="1"/>
    <col min="6" max="6" width="15.28515625" customWidth="1"/>
    <col min="7" max="7" width="21" customWidth="1"/>
    <col min="13" max="22" width="0" hidden="1" customWidth="1"/>
  </cols>
  <sheetData>
    <row r="1" spans="2:22" s="1" customFormat="1" ht="15.75" x14ac:dyDescent="0.25"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</row>
    <row r="2" spans="2:22" s="1" customFormat="1" ht="15.75" x14ac:dyDescent="0.25">
      <c r="B2" s="76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</row>
    <row r="3" spans="2:22" s="1" customFormat="1" ht="16.5" thickBot="1" x14ac:dyDescent="0.3">
      <c r="B3" s="79" t="s">
        <v>84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</row>
    <row r="4" spans="2:22" s="1" customFormat="1" ht="15.75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s="1" customFormat="1" ht="15.75" x14ac:dyDescent="0.25">
      <c r="C5" s="29" t="s">
        <v>78</v>
      </c>
    </row>
    <row r="6" spans="2:22" s="1" customFormat="1" ht="15.75" x14ac:dyDescent="0.25"/>
    <row r="7" spans="2:22" s="1" customFormat="1" ht="15.75" x14ac:dyDescent="0.25">
      <c r="C7" s="1" t="s">
        <v>33</v>
      </c>
      <c r="D7" s="47">
        <v>29618.38</v>
      </c>
    </row>
    <row r="8" spans="2:22" s="1" customFormat="1" ht="15.75" x14ac:dyDescent="0.25">
      <c r="C8" s="1" t="s">
        <v>35</v>
      </c>
      <c r="D8" s="3">
        <v>1599</v>
      </c>
    </row>
    <row r="9" spans="2:22" s="1" customFormat="1" ht="15.75" x14ac:dyDescent="0.25">
      <c r="C9" s="1" t="s">
        <v>36</v>
      </c>
      <c r="D9" s="3">
        <v>644</v>
      </c>
    </row>
    <row r="12" spans="2:22" ht="31.5" customHeight="1" x14ac:dyDescent="0.25">
      <c r="C12" s="44" t="s">
        <v>1</v>
      </c>
      <c r="D12" s="69" t="str">
        <f>'1'!D12:E12</f>
        <v>Содержание общего имущества дома</v>
      </c>
      <c r="E12" s="70"/>
      <c r="F12" s="44" t="s">
        <v>9</v>
      </c>
      <c r="G12" s="44" t="s">
        <v>8</v>
      </c>
    </row>
    <row r="13" spans="2:22" ht="15.75" x14ac:dyDescent="0.25">
      <c r="C13" s="9" t="s">
        <v>2</v>
      </c>
      <c r="D13" s="71"/>
      <c r="E13" s="72"/>
      <c r="F13" s="21"/>
      <c r="G13" s="21"/>
    </row>
    <row r="14" spans="2:22" ht="63" x14ac:dyDescent="0.25">
      <c r="C14" s="10" t="s">
        <v>82</v>
      </c>
      <c r="D14" s="71">
        <v>-1392689.03</v>
      </c>
      <c r="E14" s="72"/>
      <c r="F14" s="21">
        <v>-424398.24</v>
      </c>
      <c r="G14" s="21">
        <f>D14+F14</f>
        <v>-1817087.27</v>
      </c>
    </row>
    <row r="15" spans="2:22" ht="15.75" x14ac:dyDescent="0.25">
      <c r="C15" s="9" t="s">
        <v>3</v>
      </c>
      <c r="D15" s="71">
        <v>9444486.6699999999</v>
      </c>
      <c r="E15" s="72"/>
      <c r="F15" s="14">
        <v>2708949.93</v>
      </c>
      <c r="G15" s="14">
        <f>D15+F15</f>
        <v>12153436.6</v>
      </c>
    </row>
    <row r="16" spans="2:22" ht="15.75" x14ac:dyDescent="0.25">
      <c r="C16" s="9" t="s">
        <v>4</v>
      </c>
      <c r="D16" s="71">
        <v>9758819.75</v>
      </c>
      <c r="E16" s="72"/>
      <c r="F16" s="14">
        <v>2807083.05</v>
      </c>
      <c r="G16" s="14">
        <f>D16+F16</f>
        <v>12565902.800000001</v>
      </c>
    </row>
    <row r="17" spans="3:7" ht="31.5" x14ac:dyDescent="0.25">
      <c r="C17" s="10" t="s">
        <v>5</v>
      </c>
      <c r="D17" s="71">
        <f>12495791.32+824754.11</f>
        <v>13320545.43</v>
      </c>
      <c r="E17" s="72"/>
      <c r="F17" s="14">
        <f>104447.94+235219.09</f>
        <v>339667.03</v>
      </c>
      <c r="G17" s="14">
        <f>D17+F17</f>
        <v>13660212.459999999</v>
      </c>
    </row>
    <row r="18" spans="3:7" ht="63" x14ac:dyDescent="0.25">
      <c r="C18" s="10" t="s">
        <v>83</v>
      </c>
      <c r="D18" s="95">
        <f>D14-D15+D16</f>
        <v>-1078355.9499999993</v>
      </c>
      <c r="E18" s="96"/>
      <c r="F18" s="33">
        <f>F16-F15+F14</f>
        <v>-326265.12000000034</v>
      </c>
      <c r="G18" s="33">
        <f>G16-G15+G14</f>
        <v>-1404621.0699999989</v>
      </c>
    </row>
    <row r="19" spans="3:7" ht="15.75" x14ac:dyDescent="0.25">
      <c r="C19" s="9" t="s">
        <v>6</v>
      </c>
      <c r="D19" s="71"/>
      <c r="E19" s="72"/>
      <c r="F19" s="21"/>
      <c r="G19" s="21"/>
    </row>
    <row r="20" spans="3:7" ht="15.75" x14ac:dyDescent="0.25">
      <c r="C20" s="9" t="s">
        <v>86</v>
      </c>
      <c r="D20" s="71">
        <v>11.83</v>
      </c>
      <c r="E20" s="72"/>
      <c r="F20" s="21">
        <v>3.54</v>
      </c>
      <c r="G20" s="21">
        <f>D20+F20</f>
        <v>15.370000000000001</v>
      </c>
    </row>
    <row r="21" spans="3:7" ht="15.75" x14ac:dyDescent="0.25">
      <c r="C21" s="9" t="s">
        <v>45</v>
      </c>
      <c r="D21" s="93">
        <f>D17/D7/26</f>
        <v>17.297660114584772</v>
      </c>
      <c r="E21" s="94"/>
      <c r="F21" s="21"/>
      <c r="G21" s="18">
        <f>G17/D7/26</f>
        <v>17.738741515338681</v>
      </c>
    </row>
  </sheetData>
  <mergeCells count="13">
    <mergeCell ref="D14:E14"/>
    <mergeCell ref="B1:V1"/>
    <mergeCell ref="B2:V2"/>
    <mergeCell ref="B3:V3"/>
    <mergeCell ref="D12:E12"/>
    <mergeCell ref="D13:E13"/>
    <mergeCell ref="D21:E21"/>
    <mergeCell ref="D15:E15"/>
    <mergeCell ref="D16:E16"/>
    <mergeCell ref="D17:E17"/>
    <mergeCell ref="D18:E18"/>
    <mergeCell ref="D19:E19"/>
    <mergeCell ref="D20:E2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B1:V64"/>
  <sheetViews>
    <sheetView view="pageBreakPreview" topLeftCell="A10" zoomScale="80" zoomScaleNormal="84" zoomScaleSheetLayoutView="80" workbookViewId="0">
      <selection activeCell="P18" sqref="P18:Q18"/>
    </sheetView>
  </sheetViews>
  <sheetFormatPr defaultRowHeight="15.75" x14ac:dyDescent="0.25"/>
  <cols>
    <col min="1" max="1" width="4.85546875" style="1" customWidth="1"/>
    <col min="2" max="2" width="3.7109375" style="1" bestFit="1" customWidth="1"/>
    <col min="3" max="3" width="38.7109375" style="1" customWidth="1"/>
    <col min="4" max="4" width="13.28515625" style="1" customWidth="1"/>
    <col min="5" max="5" width="11.140625" style="1" customWidth="1"/>
    <col min="6" max="6" width="10.5703125" style="1" bestFit="1" customWidth="1"/>
    <col min="7" max="7" width="1.5703125" style="1" customWidth="1"/>
    <col min="8" max="8" width="12.5703125" style="1" customWidth="1"/>
    <col min="9" max="9" width="1.5703125" style="1" customWidth="1"/>
    <col min="10" max="10" width="11.85546875" style="1" customWidth="1"/>
    <col min="11" max="11" width="2.28515625" style="1" customWidth="1"/>
    <col min="12" max="12" width="12.7109375" style="1" customWidth="1"/>
    <col min="13" max="13" width="1.5703125" style="1" customWidth="1"/>
    <col min="14" max="14" width="16.42578125" style="1" customWidth="1"/>
    <col min="15" max="15" width="1.7109375" style="1" customWidth="1"/>
    <col min="16" max="16" width="12.85546875" style="1" customWidth="1"/>
    <col min="17" max="17" width="6.5703125" style="1" customWidth="1"/>
    <col min="18" max="18" width="12" style="1" customWidth="1"/>
    <col min="19" max="19" width="6.7109375" style="1" customWidth="1"/>
    <col min="20" max="20" width="15.85546875" style="1" customWidth="1"/>
    <col min="21" max="21" width="4.570312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80</v>
      </c>
    </row>
    <row r="8" spans="2:22" x14ac:dyDescent="0.25">
      <c r="C8" s="1" t="s">
        <v>33</v>
      </c>
      <c r="D8" s="2">
        <v>3603</v>
      </c>
    </row>
    <row r="9" spans="2:22" x14ac:dyDescent="0.25">
      <c r="C9" s="1" t="s">
        <v>35</v>
      </c>
      <c r="D9" s="3">
        <v>203</v>
      </c>
    </row>
    <row r="10" spans="2:22" x14ac:dyDescent="0.25">
      <c r="C10" s="1" t="s">
        <v>36</v>
      </c>
      <c r="D10" s="3">
        <v>80</v>
      </c>
    </row>
    <row r="12" spans="2:22" ht="47.25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-759029.69000000018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-151549</v>
      </c>
      <c r="G14" s="7"/>
      <c r="H14" s="11">
        <v>-35067.1</v>
      </c>
      <c r="I14" s="7"/>
      <c r="J14" s="11">
        <v>-36355.19</v>
      </c>
      <c r="K14" s="7"/>
      <c r="L14" s="11">
        <v>-282269.90000000002</v>
      </c>
      <c r="M14" s="7"/>
      <c r="N14" s="11">
        <v>-9604.6</v>
      </c>
      <c r="O14" s="7"/>
      <c r="P14" s="71">
        <v>-30697.9</v>
      </c>
      <c r="Q14" s="72"/>
      <c r="R14" s="71">
        <v>-140085.20000000001</v>
      </c>
      <c r="S14" s="72"/>
      <c r="T14" s="71">
        <v>-73400.800000000003</v>
      </c>
      <c r="U14" s="72"/>
      <c r="V14" s="14">
        <f>F14+H14+J14+L14+N14+P14+Q14+R14+S14+T14+U14</f>
        <v>-759029.69000000018</v>
      </c>
    </row>
    <row r="15" spans="2:22" x14ac:dyDescent="0.25">
      <c r="C15" s="9" t="s">
        <v>3</v>
      </c>
      <c r="D15" s="71"/>
      <c r="E15" s="72"/>
      <c r="F15" s="11">
        <f>42583.22+212939.78</f>
        <v>255523</v>
      </c>
      <c r="G15" s="7"/>
      <c r="H15" s="14"/>
      <c r="I15" s="7"/>
      <c r="J15" s="14">
        <f>38904.54+7712.36</f>
        <v>46616.9</v>
      </c>
      <c r="K15" s="7"/>
      <c r="L15" s="11">
        <f>89442.51+447299.67</f>
        <v>536742.17999999993</v>
      </c>
      <c r="M15" s="7"/>
      <c r="N15" s="11">
        <f>16050+3150</f>
        <v>19200</v>
      </c>
      <c r="O15" s="7"/>
      <c r="P15" s="82">
        <f>5290.82+15192.16+109.8+13574.33</f>
        <v>34167.11</v>
      </c>
      <c r="Q15" s="83"/>
      <c r="R15" s="71">
        <f>79061.14+29802.29+80617.99</f>
        <v>189481.41999999998</v>
      </c>
      <c r="S15" s="72"/>
      <c r="T15" s="82">
        <f>7290.24+36640.31+5911.72</f>
        <v>49842.27</v>
      </c>
      <c r="U15" s="83"/>
      <c r="V15" s="11">
        <f>F15+H15+J15+L15+N15+P15+Q15+R15+S15+T15+U15</f>
        <v>1131572.8799999999</v>
      </c>
    </row>
    <row r="16" spans="2:22" x14ac:dyDescent="0.25">
      <c r="C16" s="9" t="s">
        <v>4</v>
      </c>
      <c r="D16" s="71"/>
      <c r="E16" s="72"/>
      <c r="F16" s="11">
        <f>202606.48+582.36</f>
        <v>203188.84</v>
      </c>
      <c r="G16" s="7"/>
      <c r="H16" s="14">
        <f>6560.97+28506.1</f>
        <v>35067.07</v>
      </c>
      <c r="I16" s="7"/>
      <c r="J16" s="14">
        <f>36026.45+1804.41+7402.48</f>
        <v>45233.34</v>
      </c>
      <c r="K16" s="7"/>
      <c r="L16" s="11">
        <f>417799.3+127979.23+15036.69</f>
        <v>560815.22</v>
      </c>
      <c r="M16" s="7"/>
      <c r="N16" s="14">
        <f>15385.64+754.57</f>
        <v>16140.21</v>
      </c>
      <c r="O16" s="7"/>
      <c r="P16" s="82">
        <f>14408.67+109.8+14073.41+1324.29+839.16</f>
        <v>30755.329999999998</v>
      </c>
      <c r="Q16" s="83"/>
      <c r="R16" s="82">
        <f>72182.67+80437.45+5536.91+4004.21</f>
        <v>162161.24</v>
      </c>
      <c r="S16" s="83"/>
      <c r="T16" s="82">
        <f>35330.8+36134.28+299.42+234.46+2533.64+1680.16</f>
        <v>76212.760000000009</v>
      </c>
      <c r="U16" s="83"/>
      <c r="V16" s="12">
        <f>F16+H16+J16+L16+N16+P16+Q16+R16+S16+T16+U16</f>
        <v>1129574.01</v>
      </c>
    </row>
    <row r="17" spans="2:22" ht="31.5" x14ac:dyDescent="0.25">
      <c r="C17" s="10" t="s">
        <v>5</v>
      </c>
      <c r="D17" s="71"/>
      <c r="E17" s="72"/>
      <c r="F17" s="14">
        <f>P43+P49</f>
        <v>342140.59428210004</v>
      </c>
      <c r="G17" s="7"/>
      <c r="H17" s="11">
        <f>P51</f>
        <v>0</v>
      </c>
      <c r="I17" s="7"/>
      <c r="J17" s="14">
        <f>J15</f>
        <v>46616.9</v>
      </c>
      <c r="K17" s="7"/>
      <c r="L17" s="11">
        <f>D8*L20*6</f>
        <v>537207.30000000005</v>
      </c>
      <c r="M17" s="7"/>
      <c r="N17" s="14">
        <v>3917.3</v>
      </c>
      <c r="O17" s="7"/>
      <c r="P17" s="82">
        <f>P15+Q15</f>
        <v>34167.11</v>
      </c>
      <c r="Q17" s="83"/>
      <c r="R17" s="82">
        <f>R15+S15</f>
        <v>189481.41999999998</v>
      </c>
      <c r="S17" s="83"/>
      <c r="T17" s="82">
        <f>T15+U15+25610.41</f>
        <v>75452.679999999993</v>
      </c>
      <c r="U17" s="83"/>
      <c r="V17" s="21">
        <f>F17+H17+J17+L17+N17+P17+Q17+R17+S17+T17+U17</f>
        <v>1228983.3042821002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-203883.16</v>
      </c>
      <c r="G18" s="32"/>
      <c r="H18" s="31">
        <f>H16-H15+H14</f>
        <v>-2.9999999998835847E-2</v>
      </c>
      <c r="I18" s="32"/>
      <c r="J18" s="33">
        <f>J16-J15+J14</f>
        <v>-37738.750000000007</v>
      </c>
      <c r="K18" s="32"/>
      <c r="L18" s="31">
        <f>L16-L15+L14</f>
        <v>-258196.86</v>
      </c>
      <c r="M18" s="32"/>
      <c r="N18" s="31">
        <f>N16-N15+N14</f>
        <v>-12664.390000000001</v>
      </c>
      <c r="O18" s="32"/>
      <c r="P18" s="84">
        <f t="shared" ref="P18:V18" si="0">P16-P15+P14</f>
        <v>-34109.680000000008</v>
      </c>
      <c r="Q18" s="85"/>
      <c r="R18" s="84">
        <f t="shared" si="0"/>
        <v>-167405.38</v>
      </c>
      <c r="S18" s="85"/>
      <c r="T18" s="84">
        <f t="shared" si="0"/>
        <v>-47030.30999999999</v>
      </c>
      <c r="U18" s="85"/>
      <c r="V18" s="33">
        <f t="shared" si="0"/>
        <v>-761028.56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41">
        <f>F18+H18+J18+L18+N18+P18+Q18+R18+S18+T18+U18</f>
        <v>-761028.55999999994</v>
      </c>
    </row>
    <row r="20" spans="2:22" x14ac:dyDescent="0.25">
      <c r="C20" s="9" t="s">
        <v>68</v>
      </c>
      <c r="D20" s="71"/>
      <c r="E20" s="72"/>
      <c r="F20" s="13">
        <f>'1'!F20</f>
        <v>11.83</v>
      </c>
      <c r="G20" s="7"/>
      <c r="H20" s="13">
        <f>'1'!H20</f>
        <v>3.54</v>
      </c>
      <c r="I20" s="7"/>
      <c r="J20" s="13">
        <f>'1'!J20</f>
        <v>44.32</v>
      </c>
      <c r="K20" s="7"/>
      <c r="L20" s="11">
        <v>24.85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-67.254047304491777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3603</v>
      </c>
      <c r="M30" s="56"/>
      <c r="N30" s="56">
        <f>'1'!N30:O30</f>
        <v>5.5</v>
      </c>
      <c r="O30" s="56"/>
      <c r="P30" s="4">
        <f>N30*L30*6</f>
        <v>118899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3603</v>
      </c>
      <c r="M31" s="56"/>
      <c r="N31" s="56">
        <f>'1'!N31:O31</f>
        <v>1</v>
      </c>
      <c r="O31" s="56"/>
      <c r="P31" s="4">
        <f t="shared" ref="P31:P42" si="1">N31*L31*6</f>
        <v>21618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3603</v>
      </c>
      <c r="M32" s="56"/>
      <c r="N32" s="56">
        <f>'1'!N32:O32</f>
        <v>0.4</v>
      </c>
      <c r="O32" s="56"/>
      <c r="P32" s="4">
        <f t="shared" si="1"/>
        <v>8647.2000000000007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3603</v>
      </c>
      <c r="M33" s="56"/>
      <c r="N33" s="56">
        <f>'1'!N33:O33</f>
        <v>0.6</v>
      </c>
      <c r="O33" s="56"/>
      <c r="P33" s="4">
        <f t="shared" si="1"/>
        <v>12970.8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3603</v>
      </c>
      <c r="M34" s="56"/>
      <c r="N34" s="56">
        <f>'1'!N34:O34</f>
        <v>1</v>
      </c>
      <c r="O34" s="56"/>
      <c r="P34" s="4">
        <f t="shared" si="1"/>
        <v>21618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3603</v>
      </c>
      <c r="M35" s="56"/>
      <c r="N35" s="61">
        <f>'1'!N35:O35</f>
        <v>2.4</v>
      </c>
      <c r="O35" s="61"/>
      <c r="P35" s="4">
        <f t="shared" si="1"/>
        <v>51883.199999999997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3603</v>
      </c>
      <c r="M36" s="56"/>
      <c r="N36" s="56">
        <f>'1'!N36:O36</f>
        <v>1.4198999999999999</v>
      </c>
      <c r="O36" s="56"/>
      <c r="P36" s="4">
        <f t="shared" si="1"/>
        <v>30695.3982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3603</v>
      </c>
      <c r="M37" s="56"/>
      <c r="N37" s="61">
        <f>'1'!N37:O37</f>
        <v>1.2367534499999999</v>
      </c>
      <c r="O37" s="61"/>
      <c r="P37" s="4">
        <f t="shared" si="1"/>
        <v>26736.136082099998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3603</v>
      </c>
      <c r="M38" s="56"/>
      <c r="N38" s="61">
        <f>'1'!N38:O38</f>
        <v>0.3</v>
      </c>
      <c r="O38" s="61"/>
      <c r="P38" s="4">
        <f t="shared" si="1"/>
        <v>6485.4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3603</v>
      </c>
      <c r="M39" s="56"/>
      <c r="N39" s="56">
        <f>'1'!N39:O39</f>
        <v>0.92</v>
      </c>
      <c r="O39" s="56"/>
      <c r="P39" s="4">
        <f t="shared" si="1"/>
        <v>19888.560000000001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3603</v>
      </c>
      <c r="M40" s="56"/>
      <c r="N40" s="56">
        <f>'1'!N40:O40</f>
        <v>0.05</v>
      </c>
      <c r="O40" s="56"/>
      <c r="P40" s="17">
        <f t="shared" si="1"/>
        <v>1080.9000000000001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3603</v>
      </c>
      <c r="M41" s="56"/>
      <c r="N41" s="56">
        <f>'1'!N41:O41</f>
        <v>0</v>
      </c>
      <c r="O41" s="56"/>
      <c r="P41" s="17">
        <f t="shared" si="1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3603</v>
      </c>
      <c r="M42" s="56"/>
      <c r="N42" s="66">
        <f>'1'!N42:O42</f>
        <v>1</v>
      </c>
      <c r="O42" s="66"/>
      <c r="P42" s="17">
        <f t="shared" si="1"/>
        <v>21618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3603</v>
      </c>
      <c r="M43" s="55"/>
      <c r="N43" s="87">
        <f>SUM(N30:O42)</f>
        <v>15.826653450000002</v>
      </c>
      <c r="O43" s="87"/>
      <c r="P43" s="39">
        <f>SUM(P30:P42)</f>
        <v>342140.59428210004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3603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3603</v>
      </c>
      <c r="M46" s="56"/>
      <c r="N46" s="56"/>
      <c r="O46" s="56"/>
      <c r="P46" s="17">
        <f>L46*N46*6</f>
        <v>0</v>
      </c>
    </row>
    <row r="47" spans="2:16" hidden="1" x14ac:dyDescent="0.25">
      <c r="B47" s="4">
        <v>3</v>
      </c>
      <c r="C47" s="58" t="s">
        <v>89</v>
      </c>
      <c r="D47" s="59"/>
      <c r="E47" s="59"/>
      <c r="F47" s="59"/>
      <c r="G47" s="59"/>
      <c r="H47" s="59"/>
      <c r="I47" s="59"/>
      <c r="J47" s="59"/>
      <c r="K47" s="60"/>
      <c r="L47" s="56">
        <v>3603</v>
      </c>
      <c r="M47" s="56"/>
      <c r="N47" s="61"/>
      <c r="O47" s="61"/>
      <c r="P47" s="17"/>
    </row>
    <row r="48" spans="2:16" ht="15.75" hidden="1" customHeight="1" x14ac:dyDescent="0.25">
      <c r="B48" s="4">
        <v>4</v>
      </c>
      <c r="C48" s="56"/>
      <c r="D48" s="88"/>
      <c r="E48" s="88"/>
      <c r="F48" s="88"/>
      <c r="G48" s="88"/>
      <c r="H48" s="88"/>
      <c r="I48" s="88"/>
      <c r="J48" s="88"/>
      <c r="K48" s="89"/>
      <c r="L48" s="56">
        <v>3603</v>
      </c>
      <c r="M48" s="56"/>
      <c r="N48" s="56"/>
      <c r="O48" s="5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3603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3603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P21:Q21"/>
    <mergeCell ref="R19:S19"/>
    <mergeCell ref="R20:S20"/>
    <mergeCell ref="R21:S21"/>
    <mergeCell ref="T19:U19"/>
    <mergeCell ref="T20:U20"/>
    <mergeCell ref="T21:U21"/>
    <mergeCell ref="P18:Q18"/>
    <mergeCell ref="R18:S18"/>
    <mergeCell ref="T18:U18"/>
    <mergeCell ref="P19:Q19"/>
    <mergeCell ref="P20:Q20"/>
    <mergeCell ref="R15:S15"/>
    <mergeCell ref="T15:U15"/>
    <mergeCell ref="P16:Q16"/>
    <mergeCell ref="R16:S16"/>
    <mergeCell ref="T16:U16"/>
    <mergeCell ref="P17:Q17"/>
    <mergeCell ref="R17:S17"/>
    <mergeCell ref="T17:U17"/>
    <mergeCell ref="B2:V2"/>
    <mergeCell ref="B3:V3"/>
    <mergeCell ref="B4:V4"/>
    <mergeCell ref="P12:Q12"/>
    <mergeCell ref="R12:S12"/>
    <mergeCell ref="T12:U12"/>
    <mergeCell ref="P13:Q13"/>
    <mergeCell ref="R13:S13"/>
    <mergeCell ref="T13:U13"/>
    <mergeCell ref="P14:Q14"/>
    <mergeCell ref="R14:S14"/>
    <mergeCell ref="T14:U14"/>
    <mergeCell ref="P15:Q15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1:V64"/>
  <sheetViews>
    <sheetView view="pageBreakPreview" topLeftCell="A7" zoomScale="78" zoomScaleNormal="84" zoomScaleSheetLayoutView="78" workbookViewId="0">
      <selection activeCell="P18" sqref="P18:Q18"/>
    </sheetView>
  </sheetViews>
  <sheetFormatPr defaultRowHeight="15.75" x14ac:dyDescent="0.25"/>
  <cols>
    <col min="1" max="1" width="9.140625" style="1"/>
    <col min="2" max="2" width="3.5703125" style="1" bestFit="1" customWidth="1"/>
    <col min="3" max="3" width="37.7109375" style="1" customWidth="1"/>
    <col min="4" max="4" width="13.28515625" style="1" customWidth="1"/>
    <col min="5" max="5" width="11.140625" style="1" customWidth="1"/>
    <col min="6" max="6" width="9.42578125" style="1" bestFit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85546875" style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6.5703125" style="1" customWidth="1"/>
    <col min="18" max="18" width="11.5703125" style="1" customWidth="1"/>
    <col min="19" max="19" width="6.28515625" style="1" customWidth="1"/>
    <col min="20" max="20" width="15.42578125" style="1" customWidth="1"/>
    <col min="21" max="21" width="5.4257812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50</v>
      </c>
    </row>
    <row r="8" spans="2:22" x14ac:dyDescent="0.25">
      <c r="C8" s="1" t="s">
        <v>33</v>
      </c>
      <c r="D8" s="2">
        <v>909.12</v>
      </c>
    </row>
    <row r="9" spans="2:22" x14ac:dyDescent="0.25">
      <c r="C9" s="1" t="s">
        <v>35</v>
      </c>
      <c r="D9" s="3">
        <v>47</v>
      </c>
    </row>
    <row r="10" spans="2:22" x14ac:dyDescent="0.25">
      <c r="C10" s="1" t="s">
        <v>36</v>
      </c>
      <c r="D10" s="3">
        <v>20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-147000.17000000001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-27951.9</v>
      </c>
      <c r="G14" s="7"/>
      <c r="H14" s="14">
        <v>-3990.8</v>
      </c>
      <c r="I14" s="7"/>
      <c r="J14" s="14">
        <v>-4226.3</v>
      </c>
      <c r="K14" s="7"/>
      <c r="L14" s="11">
        <v>-86680.6</v>
      </c>
      <c r="M14" s="7"/>
      <c r="N14" s="11">
        <v>-2022.27</v>
      </c>
      <c r="O14" s="7"/>
      <c r="P14" s="71">
        <v>-2724.9</v>
      </c>
      <c r="Q14" s="72"/>
      <c r="R14" s="71">
        <v>-13165.5</v>
      </c>
      <c r="S14" s="72"/>
      <c r="T14" s="71">
        <v>-6237.9</v>
      </c>
      <c r="U14" s="72"/>
      <c r="V14" s="21">
        <f>F14+H14+J14+L14+N14+P14+Q14+R14+S14+T14+U14</f>
        <v>-147000.17000000001</v>
      </c>
    </row>
    <row r="15" spans="2:22" x14ac:dyDescent="0.25">
      <c r="C15" s="9" t="s">
        <v>3</v>
      </c>
      <c r="D15" s="71"/>
      <c r="E15" s="72"/>
      <c r="F15" s="11">
        <f>10773.37+53866.85</f>
        <v>64640.22</v>
      </c>
      <c r="G15" s="7"/>
      <c r="H15" s="11"/>
      <c r="I15" s="7"/>
      <c r="J15" s="14">
        <f>1639.97+8102.14</f>
        <v>9742.11</v>
      </c>
      <c r="K15" s="7"/>
      <c r="L15" s="11">
        <f>34477.52+172391.75</f>
        <v>206869.27</v>
      </c>
      <c r="M15" s="7"/>
      <c r="N15" s="11">
        <f>4250+850</f>
        <v>5100</v>
      </c>
      <c r="O15" s="7"/>
      <c r="P15" s="82">
        <f>1586.97+2903.94+3098.8</f>
        <v>7589.71</v>
      </c>
      <c r="Q15" s="83"/>
      <c r="R15" s="82">
        <f>5504.5+15112.32+17271.25</f>
        <v>37888.07</v>
      </c>
      <c r="S15" s="83"/>
      <c r="T15" s="82">
        <f>2262.24+7137.45+1091.9+7843.36</f>
        <v>18334.949999999997</v>
      </c>
      <c r="U15" s="83"/>
      <c r="V15" s="11">
        <f>F15+H15+J15+L15+N15+P15+Q15+R15+S15+T15+U15</f>
        <v>350164.33</v>
      </c>
    </row>
    <row r="16" spans="2:22" x14ac:dyDescent="0.25">
      <c r="C16" s="9" t="s">
        <v>4</v>
      </c>
      <c r="D16" s="71"/>
      <c r="E16" s="72"/>
      <c r="F16" s="11">
        <f>52591.69+15.71+3404.15</f>
        <v>56011.55</v>
      </c>
      <c r="G16" s="7"/>
      <c r="H16" s="14">
        <f>1963.82+2027</f>
        <v>3990.8199999999997</v>
      </c>
      <c r="I16" s="7"/>
      <c r="J16" s="14">
        <f>8143.83+814.89</f>
        <v>8958.7199999999993</v>
      </c>
      <c r="K16" s="7"/>
      <c r="L16" s="11">
        <f>167463.47+34731.73+9883.62</f>
        <v>212078.82</v>
      </c>
      <c r="M16" s="7"/>
      <c r="N16" s="14">
        <f>3928.74+744.51</f>
        <v>4673.25</v>
      </c>
      <c r="O16" s="7"/>
      <c r="P16" s="82">
        <f>3268.5+3184.62+570.99+0.34</f>
        <v>7024.45</v>
      </c>
      <c r="Q16" s="83"/>
      <c r="R16" s="82">
        <f>16567.37+15751.03+2642.06+1.8</f>
        <v>34962.26</v>
      </c>
      <c r="S16" s="83"/>
      <c r="T16" s="82">
        <f>7842.19+7665.54+55.7+1141.15+0.86</f>
        <v>16705.440000000002</v>
      </c>
      <c r="U16" s="83"/>
      <c r="V16" s="12">
        <f>F16+H16+J16+L16+N16+P16+Q16+R16+S16+T16+U16</f>
        <v>344405.31000000006</v>
      </c>
    </row>
    <row r="17" spans="2:22" ht="31.5" x14ac:dyDescent="0.25">
      <c r="C17" s="10" t="s">
        <v>5</v>
      </c>
      <c r="D17" s="71"/>
      <c r="E17" s="72"/>
      <c r="F17" s="14">
        <f>P43+P49</f>
        <v>86329.963106783995</v>
      </c>
      <c r="G17" s="7"/>
      <c r="H17" s="11">
        <f>P51</f>
        <v>0</v>
      </c>
      <c r="I17" s="7"/>
      <c r="J17" s="14">
        <f>J15</f>
        <v>9742.11</v>
      </c>
      <c r="K17" s="7"/>
      <c r="L17" s="11">
        <f>D8*L20*6</f>
        <v>206515.69919999997</v>
      </c>
      <c r="M17" s="7"/>
      <c r="N17" s="14">
        <v>3917.3</v>
      </c>
      <c r="O17" s="7"/>
      <c r="P17" s="82">
        <f>P15+Q15</f>
        <v>7589.71</v>
      </c>
      <c r="Q17" s="83"/>
      <c r="R17" s="82">
        <f>R15+S15</f>
        <v>37888.07</v>
      </c>
      <c r="S17" s="83"/>
      <c r="T17" s="82">
        <f>T15+U15+25610.409</f>
        <v>43945.358999999997</v>
      </c>
      <c r="U17" s="83"/>
      <c r="V17" s="21">
        <f>F17+H17+J17+L17+N17+P17+Q17+R17+S17+T17+U17</f>
        <v>395928.21130678395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-36580.57</v>
      </c>
      <c r="G18" s="32"/>
      <c r="H18" s="31">
        <f>H16-H15+H14</f>
        <v>1.9999999999527063E-2</v>
      </c>
      <c r="I18" s="32"/>
      <c r="J18" s="31">
        <f>J16-J15+J14</f>
        <v>-5009.6900000000014</v>
      </c>
      <c r="K18" s="32"/>
      <c r="L18" s="31">
        <f>L16-L15+L14</f>
        <v>-81471.049999999988</v>
      </c>
      <c r="M18" s="32"/>
      <c r="N18" s="33">
        <f>N16-N15+N14</f>
        <v>-2449.02</v>
      </c>
      <c r="O18" s="32"/>
      <c r="P18" s="84">
        <f t="shared" ref="P18:V18" si="0">P16-P15+P14</f>
        <v>-3290.1600000000003</v>
      </c>
      <c r="Q18" s="85"/>
      <c r="R18" s="84">
        <f t="shared" si="0"/>
        <v>-16091.309999999998</v>
      </c>
      <c r="S18" s="85"/>
      <c r="T18" s="84">
        <f t="shared" si="0"/>
        <v>-7867.4099999999944</v>
      </c>
      <c r="U18" s="85"/>
      <c r="V18" s="33">
        <f t="shared" si="0"/>
        <v>-152759.18999999997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-152759.19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3">
        <f>'1'!H20</f>
        <v>3.54</v>
      </c>
      <c r="I20" s="7"/>
      <c r="J20" s="13">
        <f>'1'!J20</f>
        <v>44.32</v>
      </c>
      <c r="K20" s="7"/>
      <c r="L20" s="11">
        <v>37.86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-43.625000296289457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909.12</v>
      </c>
      <c r="M30" s="56"/>
      <c r="N30" s="56">
        <f>'1'!N30:O30</f>
        <v>5.5</v>
      </c>
      <c r="O30" s="56"/>
      <c r="P30" s="17">
        <f>L30*N30*6</f>
        <v>30000.959999999999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909.12</v>
      </c>
      <c r="M31" s="56"/>
      <c r="N31" s="56">
        <f>'1'!N31:O31</f>
        <v>1</v>
      </c>
      <c r="O31" s="56"/>
      <c r="P31" s="17">
        <f t="shared" ref="P31:P42" si="1">L31*N31*6</f>
        <v>5454.72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909.12</v>
      </c>
      <c r="M32" s="56"/>
      <c r="N32" s="56">
        <f>'1'!N32:O32</f>
        <v>0.4</v>
      </c>
      <c r="O32" s="56"/>
      <c r="P32" s="17">
        <f t="shared" si="1"/>
        <v>2181.8879999999999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909.12</v>
      </c>
      <c r="M33" s="56"/>
      <c r="N33" s="56">
        <f>'1'!N33:O33</f>
        <v>0.6</v>
      </c>
      <c r="O33" s="56"/>
      <c r="P33" s="17">
        <f t="shared" si="1"/>
        <v>3272.8319999999999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909.12</v>
      </c>
      <c r="M34" s="56"/>
      <c r="N34" s="56">
        <f>'1'!N34:O34</f>
        <v>1</v>
      </c>
      <c r="O34" s="56"/>
      <c r="P34" s="17">
        <f t="shared" si="1"/>
        <v>5454.72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909.12</v>
      </c>
      <c r="M35" s="56"/>
      <c r="N35" s="61">
        <f>'1'!N35:O35</f>
        <v>2.4</v>
      </c>
      <c r="O35" s="61"/>
      <c r="P35" s="17">
        <f t="shared" si="1"/>
        <v>13091.328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909.12</v>
      </c>
      <c r="M36" s="56"/>
      <c r="N36" s="56">
        <f>'1'!N36:O36</f>
        <v>1.4198999999999999</v>
      </c>
      <c r="O36" s="56"/>
      <c r="P36" s="17">
        <f t="shared" si="1"/>
        <v>7745.1569280000003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909.12</v>
      </c>
      <c r="M37" s="56"/>
      <c r="N37" s="61">
        <f>'1'!N37:O37</f>
        <v>1.2367534499999999</v>
      </c>
      <c r="O37" s="61"/>
      <c r="P37" s="17">
        <f t="shared" si="1"/>
        <v>6746.1437787840005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909.12</v>
      </c>
      <c r="M38" s="56"/>
      <c r="N38" s="61">
        <f>'1'!N38:O38</f>
        <v>0.3</v>
      </c>
      <c r="O38" s="61"/>
      <c r="P38" s="17">
        <f t="shared" si="1"/>
        <v>1636.4159999999999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909.12</v>
      </c>
      <c r="M39" s="56"/>
      <c r="N39" s="56">
        <f>'1'!N39:O39</f>
        <v>0.92</v>
      </c>
      <c r="O39" s="56"/>
      <c r="P39" s="17">
        <f t="shared" si="1"/>
        <v>5018.3423999999995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909.12</v>
      </c>
      <c r="M40" s="56"/>
      <c r="N40" s="56">
        <f>'1'!N40:O40</f>
        <v>0.05</v>
      </c>
      <c r="O40" s="56"/>
      <c r="P40" s="17">
        <f t="shared" si="1"/>
        <v>272.73599999999999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909.12</v>
      </c>
      <c r="M41" s="56"/>
      <c r="N41" s="56">
        <f>'1'!N41:O41</f>
        <v>0</v>
      </c>
      <c r="O41" s="56"/>
      <c r="P41" s="17">
        <f t="shared" si="1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909.12</v>
      </c>
      <c r="M42" s="56"/>
      <c r="N42" s="66">
        <f>'1'!N42:O42</f>
        <v>1</v>
      </c>
      <c r="O42" s="66"/>
      <c r="P42" s="17">
        <f t="shared" si="1"/>
        <v>5454.72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909.12</v>
      </c>
      <c r="M43" s="55"/>
      <c r="N43" s="87">
        <f>SUM(N30:O42)</f>
        <v>15.826653450000002</v>
      </c>
      <c r="O43" s="87"/>
      <c r="P43" s="39">
        <f>SUM(P30:P42)</f>
        <v>86329.963106783995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909.12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909.12</v>
      </c>
      <c r="M46" s="56"/>
      <c r="N46" s="56"/>
      <c r="O46" s="56"/>
      <c r="P46" s="17">
        <f t="shared" ref="P46:P47" si="2"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909.12</v>
      </c>
      <c r="M47" s="56"/>
      <c r="N47" s="56"/>
      <c r="O47" s="56"/>
      <c r="P47" s="17">
        <f t="shared" si="2"/>
        <v>0</v>
      </c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909.12</v>
      </c>
      <c r="M48" s="56"/>
      <c r="N48" s="56"/>
      <c r="O48" s="5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909.12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909.12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P20:Q20"/>
    <mergeCell ref="R20:S20"/>
    <mergeCell ref="T20:U20"/>
    <mergeCell ref="P21:Q21"/>
    <mergeCell ref="R21:S21"/>
    <mergeCell ref="T21:U21"/>
    <mergeCell ref="P18:Q18"/>
    <mergeCell ref="R18:S18"/>
    <mergeCell ref="T18:U18"/>
    <mergeCell ref="P19:Q19"/>
    <mergeCell ref="R19:S19"/>
    <mergeCell ref="T19:U19"/>
    <mergeCell ref="R15:S15"/>
    <mergeCell ref="T15:U15"/>
    <mergeCell ref="P16:Q16"/>
    <mergeCell ref="R16:S16"/>
    <mergeCell ref="T16:U16"/>
    <mergeCell ref="P17:Q17"/>
    <mergeCell ref="R17:S17"/>
    <mergeCell ref="T17:U17"/>
    <mergeCell ref="B2:V2"/>
    <mergeCell ref="B3:V3"/>
    <mergeCell ref="B4:V4"/>
    <mergeCell ref="P12:Q12"/>
    <mergeCell ref="R12:S12"/>
    <mergeCell ref="T12:U12"/>
    <mergeCell ref="P14:Q14"/>
    <mergeCell ref="P13:Q13"/>
    <mergeCell ref="R13:S13"/>
    <mergeCell ref="T13:U13"/>
    <mergeCell ref="R14:S14"/>
    <mergeCell ref="T14:U14"/>
    <mergeCell ref="P15:Q15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B1:V64"/>
  <sheetViews>
    <sheetView view="pageBreakPreview" topLeftCell="A4" zoomScale="84" zoomScaleNormal="84" zoomScaleSheetLayoutView="84" workbookViewId="0">
      <selection activeCell="P18" sqref="P18:Q18"/>
    </sheetView>
  </sheetViews>
  <sheetFormatPr defaultRowHeight="15.75" x14ac:dyDescent="0.25"/>
  <cols>
    <col min="1" max="1" width="3.7109375" style="1" customWidth="1"/>
    <col min="2" max="2" width="3.5703125" style="1" bestFit="1" customWidth="1"/>
    <col min="3" max="3" width="37.42578125" style="1" customWidth="1"/>
    <col min="4" max="4" width="13.28515625" style="1" customWidth="1"/>
    <col min="5" max="5" width="10.5703125" style="1" customWidth="1"/>
    <col min="6" max="6" width="9.42578125" style="1" bestFit="1" customWidth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425781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42578125" style="1" customWidth="1"/>
    <col min="19" max="19" width="10.28515625" style="1" customWidth="1"/>
    <col min="20" max="20" width="14.7109375" style="1" customWidth="1"/>
    <col min="21" max="21" width="10.85546875" style="1" customWidth="1"/>
    <col min="22" max="22" width="12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51</v>
      </c>
    </row>
    <row r="8" spans="2:22" x14ac:dyDescent="0.25">
      <c r="C8" s="1" t="s">
        <v>33</v>
      </c>
      <c r="D8" s="2">
        <v>891.33</v>
      </c>
    </row>
    <row r="9" spans="2:22" x14ac:dyDescent="0.25">
      <c r="C9" s="1" t="s">
        <v>35</v>
      </c>
      <c r="D9" s="3">
        <v>43</v>
      </c>
    </row>
    <row r="10" spans="2:22" x14ac:dyDescent="0.25">
      <c r="C10" s="1" t="s">
        <v>36</v>
      </c>
      <c r="D10" s="3">
        <v>20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42">
        <f>V14</f>
        <v>-149926.9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-34255</v>
      </c>
      <c r="G14" s="7"/>
      <c r="H14" s="11">
        <v>-1370.5</v>
      </c>
      <c r="I14" s="7"/>
      <c r="J14" s="11">
        <v>-6422.5</v>
      </c>
      <c r="K14" s="7"/>
      <c r="L14" s="11">
        <v>-83863.600000000006</v>
      </c>
      <c r="M14" s="7"/>
      <c r="N14" s="11">
        <v>-1161.8</v>
      </c>
      <c r="O14" s="7"/>
      <c r="P14" s="71">
        <v>-895.1</v>
      </c>
      <c r="Q14" s="72"/>
      <c r="R14" s="71">
        <v>-9328</v>
      </c>
      <c r="S14" s="72"/>
      <c r="T14" s="71">
        <v>-12630.4</v>
      </c>
      <c r="U14" s="72"/>
      <c r="V14" s="18">
        <f>F14+H14+J14+L14+N14+P14+Q14+R14+S14+T14+U14</f>
        <v>-149926.9</v>
      </c>
    </row>
    <row r="15" spans="2:22" x14ac:dyDescent="0.25">
      <c r="C15" s="9" t="s">
        <v>3</v>
      </c>
      <c r="D15" s="71"/>
      <c r="E15" s="72"/>
      <c r="F15" s="11">
        <f>13592.23+52513.4</f>
        <v>66105.63</v>
      </c>
      <c r="G15" s="7"/>
      <c r="H15" s="14"/>
      <c r="I15" s="7"/>
      <c r="J15" s="14">
        <f>1462.69+7534.4</f>
        <v>8997.09</v>
      </c>
      <c r="K15" s="7"/>
      <c r="L15" s="11">
        <f>33611.3+168060.5</f>
        <v>201671.8</v>
      </c>
      <c r="M15" s="7"/>
      <c r="N15" s="11">
        <f>700+3500</f>
        <v>4200</v>
      </c>
      <c r="O15" s="7"/>
      <c r="P15" s="82">
        <f>769.68+2619.24+2565.64</f>
        <v>5954.5599999999995</v>
      </c>
      <c r="Q15" s="83"/>
      <c r="R15" s="82">
        <f>4534.17+13630.72+16274.11</f>
        <v>34439</v>
      </c>
      <c r="S15" s="83"/>
      <c r="T15" s="82">
        <f>1097.2+6437.7+899.42+6885.54</f>
        <v>15319.86</v>
      </c>
      <c r="U15" s="83"/>
      <c r="V15" s="11">
        <f>F15+H15+J15+L15+N15+P15+Q15+R15+S15+T15+U15</f>
        <v>336687.94</v>
      </c>
    </row>
    <row r="16" spans="2:22" x14ac:dyDescent="0.25">
      <c r="C16" s="9" t="s">
        <v>4</v>
      </c>
      <c r="D16" s="71"/>
      <c r="E16" s="72"/>
      <c r="F16" s="11">
        <f>60218.46+285.94+1133.67</f>
        <v>61638.07</v>
      </c>
      <c r="G16" s="7"/>
      <c r="H16" s="14">
        <f>1731.78-361.3</f>
        <v>1370.48</v>
      </c>
      <c r="I16" s="7"/>
      <c r="J16" s="14">
        <f>8862.23+193.2</f>
        <v>9055.43</v>
      </c>
      <c r="K16" s="7"/>
      <c r="L16" s="11">
        <f>178658.76+32177.44+3578.36</f>
        <v>214414.56</v>
      </c>
      <c r="M16" s="7"/>
      <c r="N16" s="14">
        <f>3804.43+158.24</f>
        <v>3962.67</v>
      </c>
      <c r="O16" s="7"/>
      <c r="P16" s="82">
        <f>3725.37+2627.27+388.4+61.32</f>
        <v>6802.3599999999988</v>
      </c>
      <c r="Q16" s="83"/>
      <c r="R16" s="82">
        <f>11736.58+17142.54+2286.72+312.72</f>
        <v>31478.560000000005</v>
      </c>
      <c r="S16" s="83"/>
      <c r="T16" s="82">
        <f>9012.79+7155.27+56.68+955.97+91.82</f>
        <v>17272.530000000002</v>
      </c>
      <c r="U16" s="83"/>
      <c r="V16" s="11">
        <f>F16+H16+J16+L16+N16+P16+Q16+R16+S16+T16+U16</f>
        <v>345994.66000000003</v>
      </c>
    </row>
    <row r="17" spans="2:22" ht="31.5" x14ac:dyDescent="0.25">
      <c r="C17" s="10" t="s">
        <v>5</v>
      </c>
      <c r="D17" s="71"/>
      <c r="E17" s="72"/>
      <c r="F17" s="14">
        <f>P43+P49</f>
        <v>84640.626117531006</v>
      </c>
      <c r="G17" s="7"/>
      <c r="H17" s="11">
        <f>P51</f>
        <v>0</v>
      </c>
      <c r="I17" s="7"/>
      <c r="J17" s="14">
        <f>J15</f>
        <v>8997.09</v>
      </c>
      <c r="K17" s="7"/>
      <c r="L17" s="11">
        <f>D8*L20*6</f>
        <v>202474.52279999998</v>
      </c>
      <c r="M17" s="7"/>
      <c r="N17" s="14">
        <v>3917.3</v>
      </c>
      <c r="O17" s="7"/>
      <c r="P17" s="82">
        <f>P15+Q15</f>
        <v>5954.5599999999995</v>
      </c>
      <c r="Q17" s="83"/>
      <c r="R17" s="82">
        <f>R15+S15</f>
        <v>34439</v>
      </c>
      <c r="S17" s="83"/>
      <c r="T17" s="82">
        <f>T15+U15+25610.41</f>
        <v>40930.270000000004</v>
      </c>
      <c r="U17" s="72"/>
      <c r="V17" s="21">
        <f>F17+H17+J17+L17+N17+P17+Q17+R17+S17+T17+U17</f>
        <v>381353.36891753098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-38722.560000000005</v>
      </c>
      <c r="G18" s="32"/>
      <c r="H18" s="31">
        <f>H16-H15+H14</f>
        <v>-1.999999999998181E-2</v>
      </c>
      <c r="I18" s="40"/>
      <c r="J18" s="31">
        <f>J16-J15+J14</f>
        <v>-6364.16</v>
      </c>
      <c r="K18" s="40"/>
      <c r="L18" s="31">
        <f>L16-L15+L14</f>
        <v>-71120.84</v>
      </c>
      <c r="M18" s="32"/>
      <c r="N18" s="31">
        <f>N16-N15+N14</f>
        <v>-1399.1299999999999</v>
      </c>
      <c r="O18" s="32"/>
      <c r="P18" s="84">
        <f t="shared" ref="P18:V18" si="0">P16-P15+P14</f>
        <v>-47.30000000000075</v>
      </c>
      <c r="Q18" s="85"/>
      <c r="R18" s="84">
        <f t="shared" si="0"/>
        <v>-12288.439999999995</v>
      </c>
      <c r="S18" s="85"/>
      <c r="T18" s="84">
        <f t="shared" si="0"/>
        <v>-10677.729999999998</v>
      </c>
      <c r="U18" s="85"/>
      <c r="V18" s="31">
        <f t="shared" si="0"/>
        <v>-140620.17999999996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-140620.18000000002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3">
        <f>'1'!H20</f>
        <v>3.54</v>
      </c>
      <c r="I20" s="7"/>
      <c r="J20" s="13">
        <f>'1'!J20</f>
        <v>44.32</v>
      </c>
      <c r="K20" s="7"/>
      <c r="L20" s="11">
        <v>37.86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-41.765731199044438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891.33</v>
      </c>
      <c r="M30" s="56"/>
      <c r="N30" s="56">
        <f>'1'!N30:O30</f>
        <v>5.5</v>
      </c>
      <c r="O30" s="56"/>
      <c r="P30" s="17">
        <f>L30*N30*6</f>
        <v>29413.890000000003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891.33</v>
      </c>
      <c r="M31" s="56"/>
      <c r="N31" s="56">
        <f>'1'!N31:O31</f>
        <v>1</v>
      </c>
      <c r="O31" s="56"/>
      <c r="P31" s="17">
        <f t="shared" ref="P31:P42" si="1">L31*N31*6</f>
        <v>5347.9800000000005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891.33</v>
      </c>
      <c r="M32" s="56"/>
      <c r="N32" s="56">
        <f>'1'!N32:O32</f>
        <v>0.4</v>
      </c>
      <c r="O32" s="56"/>
      <c r="P32" s="17">
        <f t="shared" si="1"/>
        <v>2139.192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891.33</v>
      </c>
      <c r="M33" s="56"/>
      <c r="N33" s="56">
        <f>'1'!N33:O33</f>
        <v>0.6</v>
      </c>
      <c r="O33" s="56"/>
      <c r="P33" s="17">
        <f t="shared" si="1"/>
        <v>3208.788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891.33</v>
      </c>
      <c r="M34" s="56"/>
      <c r="N34" s="56">
        <f>'1'!N34:O34</f>
        <v>1</v>
      </c>
      <c r="O34" s="56"/>
      <c r="P34" s="17">
        <f t="shared" si="1"/>
        <v>5347.9800000000005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891.33</v>
      </c>
      <c r="M35" s="56"/>
      <c r="N35" s="61">
        <f>'1'!N35:O35</f>
        <v>2.4</v>
      </c>
      <c r="O35" s="61"/>
      <c r="P35" s="17">
        <f t="shared" si="1"/>
        <v>12835.152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891.33</v>
      </c>
      <c r="M36" s="56"/>
      <c r="N36" s="56">
        <f>'1'!N36:O36</f>
        <v>1.4198999999999999</v>
      </c>
      <c r="O36" s="56"/>
      <c r="P36" s="17">
        <f t="shared" si="1"/>
        <v>7593.596802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891.33</v>
      </c>
      <c r="M37" s="56"/>
      <c r="N37" s="61">
        <f>'1'!N37:O37</f>
        <v>1.2367534499999999</v>
      </c>
      <c r="O37" s="61"/>
      <c r="P37" s="17">
        <f t="shared" si="1"/>
        <v>6614.1327155309991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891.33</v>
      </c>
      <c r="M38" s="56"/>
      <c r="N38" s="61">
        <f>'1'!N38:O38</f>
        <v>0.3</v>
      </c>
      <c r="O38" s="61"/>
      <c r="P38" s="17">
        <f t="shared" si="1"/>
        <v>1604.394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891.33</v>
      </c>
      <c r="M39" s="56"/>
      <c r="N39" s="56">
        <f>'1'!N39:O39</f>
        <v>0.92</v>
      </c>
      <c r="O39" s="56"/>
      <c r="P39" s="17">
        <f t="shared" si="1"/>
        <v>4920.1416000000008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891.33</v>
      </c>
      <c r="M40" s="56"/>
      <c r="N40" s="56">
        <f>'1'!N40:O40</f>
        <v>0.05</v>
      </c>
      <c r="O40" s="56"/>
      <c r="P40" s="17">
        <f t="shared" si="1"/>
        <v>267.399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891.33</v>
      </c>
      <c r="M41" s="56"/>
      <c r="N41" s="56">
        <f>'1'!N41:O41</f>
        <v>0</v>
      </c>
      <c r="O41" s="56"/>
      <c r="P41" s="17">
        <f t="shared" si="1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891.33</v>
      </c>
      <c r="M42" s="56"/>
      <c r="N42" s="66">
        <f>'1'!N42:O42</f>
        <v>1</v>
      </c>
      <c r="O42" s="66"/>
      <c r="P42" s="17">
        <f t="shared" si="1"/>
        <v>5347.9800000000005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891.33</v>
      </c>
      <c r="M43" s="55"/>
      <c r="N43" s="87">
        <f>SUM(N30:O42)</f>
        <v>15.826653450000002</v>
      </c>
      <c r="O43" s="87"/>
      <c r="P43" s="39">
        <f>SUM(P30:P42)</f>
        <v>84640.626117531006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891.33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891.33</v>
      </c>
      <c r="M46" s="56"/>
      <c r="N46" s="56"/>
      <c r="O46" s="56"/>
      <c r="P46" s="17">
        <f t="shared" ref="P46:P48" si="2"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891.33</v>
      </c>
      <c r="M47" s="56"/>
      <c r="N47" s="56"/>
      <c r="O47" s="56"/>
      <c r="P47" s="17">
        <f t="shared" si="2"/>
        <v>0</v>
      </c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891.33</v>
      </c>
      <c r="M48" s="56"/>
      <c r="N48" s="56"/>
      <c r="O48" s="56"/>
      <c r="P48" s="17">
        <f t="shared" si="2"/>
        <v>0</v>
      </c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891.33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891.33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R16:S16"/>
    <mergeCell ref="R18:S18"/>
    <mergeCell ref="R19:S19"/>
    <mergeCell ref="R20:S20"/>
    <mergeCell ref="R21:S21"/>
    <mergeCell ref="P17:Q17"/>
    <mergeCell ref="R17:S17"/>
    <mergeCell ref="P16:Q16"/>
    <mergeCell ref="T16:U16"/>
    <mergeCell ref="T18:U18"/>
    <mergeCell ref="T19:U19"/>
    <mergeCell ref="T20:U20"/>
    <mergeCell ref="T21:U21"/>
    <mergeCell ref="P18:Q18"/>
    <mergeCell ref="P19:Q19"/>
    <mergeCell ref="P20:Q20"/>
    <mergeCell ref="P21:Q21"/>
    <mergeCell ref="T17:U17"/>
    <mergeCell ref="B2:V2"/>
    <mergeCell ref="B3:V3"/>
    <mergeCell ref="B4:V4"/>
    <mergeCell ref="P12:Q12"/>
    <mergeCell ref="R12:S12"/>
    <mergeCell ref="T12:U12"/>
    <mergeCell ref="P13:Q13"/>
    <mergeCell ref="P14:Q14"/>
    <mergeCell ref="P15:Q15"/>
    <mergeCell ref="T13:U13"/>
    <mergeCell ref="T14:U14"/>
    <mergeCell ref="T15:U15"/>
    <mergeCell ref="R13:S13"/>
    <mergeCell ref="R14:S14"/>
    <mergeCell ref="R15:S15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1:V64"/>
  <sheetViews>
    <sheetView view="pageBreakPreview" topLeftCell="A7" zoomScale="84" zoomScaleNormal="84" zoomScaleSheetLayoutView="84" workbookViewId="0">
      <selection activeCell="P18" sqref="P18:Q18"/>
    </sheetView>
  </sheetViews>
  <sheetFormatPr defaultRowHeight="15.75" x14ac:dyDescent="0.25"/>
  <cols>
    <col min="1" max="1" width="2.85546875" style="1" customWidth="1"/>
    <col min="2" max="2" width="4" style="1" bestFit="1" customWidth="1"/>
    <col min="3" max="3" width="36.28515625" style="1" customWidth="1"/>
    <col min="4" max="4" width="13.28515625" style="1" customWidth="1"/>
    <col min="5" max="5" width="11.7109375" style="1" customWidth="1"/>
    <col min="6" max="6" width="9.140625" style="1"/>
    <col min="7" max="7" width="1.5703125" style="1" customWidth="1"/>
    <col min="8" max="8" width="12.5703125" style="1" customWidth="1"/>
    <col min="9" max="9" width="1.5703125" style="1" customWidth="1"/>
    <col min="10" max="10" width="11.140625" style="1" customWidth="1"/>
    <col min="11" max="11" width="2.28515625" style="1" customWidth="1"/>
    <col min="12" max="12" width="11.28515625" style="1" bestFit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42578125" style="1" customWidth="1"/>
    <col min="19" max="19" width="10.28515625" style="1" customWidth="1"/>
    <col min="20" max="20" width="14.8554687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52</v>
      </c>
    </row>
    <row r="8" spans="2:22" x14ac:dyDescent="0.25">
      <c r="C8" s="1" t="s">
        <v>33</v>
      </c>
      <c r="D8" s="2">
        <v>911.41</v>
      </c>
    </row>
    <row r="9" spans="2:22" x14ac:dyDescent="0.25">
      <c r="C9" s="1" t="s">
        <v>35</v>
      </c>
      <c r="D9" s="3">
        <v>45</v>
      </c>
    </row>
    <row r="10" spans="2:22" x14ac:dyDescent="0.25">
      <c r="C10" s="1" t="s">
        <v>36</v>
      </c>
      <c r="D10" s="3">
        <v>19</v>
      </c>
    </row>
    <row r="12" spans="2:22" ht="63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-146390.41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-30420.799999999999</v>
      </c>
      <c r="G14" s="7"/>
      <c r="H14" s="11">
        <v>-4114</v>
      </c>
      <c r="I14" s="7"/>
      <c r="J14" s="14">
        <v>-5825.6</v>
      </c>
      <c r="K14" s="7"/>
      <c r="L14" s="14">
        <v>-95551.2</v>
      </c>
      <c r="M14" s="7"/>
      <c r="N14" s="14">
        <v>-1419.01</v>
      </c>
      <c r="O14" s="7"/>
      <c r="P14" s="82">
        <v>-1069.8</v>
      </c>
      <c r="Q14" s="83"/>
      <c r="R14" s="82">
        <v>-5415.9</v>
      </c>
      <c r="S14" s="83"/>
      <c r="T14" s="82">
        <v>-2574.1</v>
      </c>
      <c r="U14" s="83"/>
      <c r="V14" s="14">
        <f>F14+H14+J14+L14+N14+P14+Q14+R14+T14+U14+S14</f>
        <v>-146390.41</v>
      </c>
    </row>
    <row r="15" spans="2:22" x14ac:dyDescent="0.25">
      <c r="C15" s="9" t="str">
        <f>'5'!C15</f>
        <v>Начислено</v>
      </c>
      <c r="D15" s="71"/>
      <c r="E15" s="72"/>
      <c r="F15" s="11">
        <f>13952.48+53905.15</f>
        <v>67857.63</v>
      </c>
      <c r="G15" s="7"/>
      <c r="H15" s="14"/>
      <c r="I15" s="7"/>
      <c r="J15" s="14">
        <f>2127.54+10636.8</f>
        <v>12764.34</v>
      </c>
      <c r="K15" s="7"/>
      <c r="L15" s="11">
        <f>34502.12+172514.8</f>
        <v>207016.91999999998</v>
      </c>
      <c r="M15" s="7"/>
      <c r="N15" s="11">
        <f>700+3500</f>
        <v>4200</v>
      </c>
      <c r="O15" s="7"/>
      <c r="P15" s="82">
        <f>1199.04+4555.2+2591.82</f>
        <v>8346.06</v>
      </c>
      <c r="Q15" s="83"/>
      <c r="R15" s="82">
        <f>6340.31+23705.6+17214.81</f>
        <v>47260.72</v>
      </c>
      <c r="S15" s="83"/>
      <c r="T15" s="82">
        <f>1709.25+11196+1257.7+7109.46</f>
        <v>21272.41</v>
      </c>
      <c r="U15" s="83"/>
      <c r="V15" s="11">
        <f>F15+H15+J15+L15+N15+P15+Q15+R15+T15+U15+S15</f>
        <v>368718.08000000002</v>
      </c>
    </row>
    <row r="16" spans="2:22" x14ac:dyDescent="0.25">
      <c r="C16" s="9" t="s">
        <v>4</v>
      </c>
      <c r="D16" s="71"/>
      <c r="E16" s="72"/>
      <c r="F16" s="11">
        <f>54088.83+2088.81+7.7</f>
        <v>56185.34</v>
      </c>
      <c r="G16" s="7"/>
      <c r="H16" s="14">
        <f>2488.11+1625.9</f>
        <v>4114.01</v>
      </c>
      <c r="I16" s="7"/>
      <c r="J16" s="14">
        <v>10286.06</v>
      </c>
      <c r="K16" s="7"/>
      <c r="L16" s="11">
        <f>172344.38+37661.26+6692.64</f>
        <v>216698.28000000003</v>
      </c>
      <c r="M16" s="7"/>
      <c r="N16" s="14">
        <f>3203.17+293.7+117.91</f>
        <v>3614.7799999999997</v>
      </c>
      <c r="O16" s="7"/>
      <c r="P16" s="82">
        <f>1848.95+3055.83+184.86+235.19</f>
        <v>5324.829999999999</v>
      </c>
      <c r="Q16" s="83"/>
      <c r="R16" s="82">
        <f>9557.07+19182.97+1502.3+1223.5</f>
        <v>31465.84</v>
      </c>
      <c r="S16" s="83"/>
      <c r="T16" s="82">
        <f>4529.04+8159.73+820.32+577.91</f>
        <v>14087</v>
      </c>
      <c r="U16" s="83"/>
      <c r="V16" s="12">
        <f>F16+H16+J16+L16+N16+P16+Q16+R16+T16+U16+S16</f>
        <v>341776.14000000013</v>
      </c>
    </row>
    <row r="17" spans="2:22" ht="31.5" x14ac:dyDescent="0.25">
      <c r="C17" s="10" t="s">
        <v>5</v>
      </c>
      <c r="D17" s="71"/>
      <c r="E17" s="72"/>
      <c r="F17" s="14">
        <f>P43+P49</f>
        <v>86547.421325186995</v>
      </c>
      <c r="G17" s="7"/>
      <c r="H17" s="11">
        <f>P51</f>
        <v>0</v>
      </c>
      <c r="I17" s="7"/>
      <c r="J17" s="14">
        <f>J15</f>
        <v>12764.34</v>
      </c>
      <c r="K17" s="7"/>
      <c r="L17" s="11">
        <f>D8*L20*6</f>
        <v>207035.89559999999</v>
      </c>
      <c r="M17" s="7"/>
      <c r="N17" s="14">
        <v>3917.3</v>
      </c>
      <c r="O17" s="7"/>
      <c r="P17" s="82">
        <f>P15+Q15</f>
        <v>8346.06</v>
      </c>
      <c r="Q17" s="83"/>
      <c r="R17" s="82">
        <f>R15+S15</f>
        <v>47260.72</v>
      </c>
      <c r="S17" s="83"/>
      <c r="T17" s="82">
        <f>T15+U15+25610.41</f>
        <v>46882.82</v>
      </c>
      <c r="U17" s="72"/>
      <c r="V17" s="12">
        <f t="shared" ref="V17" si="0">F17+H17+J17+L17+N17+P17+Q17+R17+T17+U17+S17</f>
        <v>412754.55692518695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-42093.090000000011</v>
      </c>
      <c r="G18" s="40"/>
      <c r="H18" s="31">
        <f>H16-H15+H14</f>
        <v>1.0000000000218279E-2</v>
      </c>
      <c r="I18" s="40"/>
      <c r="J18" s="31">
        <f>J16-J15+J14</f>
        <v>-8303.880000000001</v>
      </c>
      <c r="K18" s="40"/>
      <c r="L18" s="31">
        <f>L16-L15+L14</f>
        <v>-85869.839999999953</v>
      </c>
      <c r="M18" s="32"/>
      <c r="N18" s="33">
        <f>N16-N15+N14</f>
        <v>-2004.2300000000002</v>
      </c>
      <c r="O18" s="32"/>
      <c r="P18" s="84">
        <f t="shared" ref="P18:V18" si="1">P16-P15+P14</f>
        <v>-4091.0300000000007</v>
      </c>
      <c r="Q18" s="85"/>
      <c r="R18" s="84">
        <f>R16-R15+R14</f>
        <v>-21210.78</v>
      </c>
      <c r="S18" s="85"/>
      <c r="T18" s="84">
        <f t="shared" si="1"/>
        <v>-9759.51</v>
      </c>
      <c r="U18" s="85"/>
      <c r="V18" s="31">
        <f t="shared" si="1"/>
        <v>-173332.34999999989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-173332.34999999998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3">
        <f>'1'!H20</f>
        <v>3.54</v>
      </c>
      <c r="I20" s="7"/>
      <c r="J20" s="13">
        <f>'1'!J20</f>
        <v>44.32</v>
      </c>
      <c r="K20" s="7"/>
      <c r="L20" s="11">
        <v>37.86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-47.009452316523223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911.41</v>
      </c>
      <c r="M30" s="56"/>
      <c r="N30" s="56">
        <f>'1'!N30:O30</f>
        <v>5.5</v>
      </c>
      <c r="O30" s="56"/>
      <c r="P30" s="17">
        <f>L30*N30*6</f>
        <v>30076.53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911.41</v>
      </c>
      <c r="M31" s="56"/>
      <c r="N31" s="56">
        <f>'1'!N31:O31</f>
        <v>1</v>
      </c>
      <c r="O31" s="56"/>
      <c r="P31" s="17">
        <f t="shared" ref="P31:P42" si="2">L31*N31*6</f>
        <v>5468.46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911.41</v>
      </c>
      <c r="M32" s="56"/>
      <c r="N32" s="56">
        <f>'1'!N32:O32</f>
        <v>0.4</v>
      </c>
      <c r="O32" s="56"/>
      <c r="P32" s="17">
        <f t="shared" si="2"/>
        <v>2187.384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911.41</v>
      </c>
      <c r="M33" s="56"/>
      <c r="N33" s="56">
        <f>'1'!N33:O33</f>
        <v>0.6</v>
      </c>
      <c r="O33" s="56"/>
      <c r="P33" s="17">
        <f t="shared" si="2"/>
        <v>3281.076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911.41</v>
      </c>
      <c r="M34" s="56"/>
      <c r="N34" s="56">
        <f>'1'!N34:O34</f>
        <v>1</v>
      </c>
      <c r="O34" s="56"/>
      <c r="P34" s="17">
        <f t="shared" si="2"/>
        <v>5468.46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911.41</v>
      </c>
      <c r="M35" s="56"/>
      <c r="N35" s="61">
        <f>'1'!N35:O35</f>
        <v>2.4</v>
      </c>
      <c r="O35" s="61"/>
      <c r="P35" s="17">
        <f t="shared" si="2"/>
        <v>13124.304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911.41</v>
      </c>
      <c r="M36" s="56"/>
      <c r="N36" s="56">
        <f>'1'!N36:O36</f>
        <v>1.4198999999999999</v>
      </c>
      <c r="O36" s="56"/>
      <c r="P36" s="17">
        <f t="shared" si="2"/>
        <v>7764.666353999999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911.41</v>
      </c>
      <c r="M37" s="56"/>
      <c r="N37" s="61">
        <f>'1'!N37:O37</f>
        <v>1.2367534499999999</v>
      </c>
      <c r="O37" s="61"/>
      <c r="P37" s="17">
        <f t="shared" si="2"/>
        <v>6763.1367711869989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911.41</v>
      </c>
      <c r="M38" s="56"/>
      <c r="N38" s="61">
        <f>'1'!N38:O38</f>
        <v>0.3</v>
      </c>
      <c r="O38" s="61"/>
      <c r="P38" s="17">
        <f t="shared" si="2"/>
        <v>1640.538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911.41</v>
      </c>
      <c r="M39" s="56"/>
      <c r="N39" s="56">
        <f>'1'!N39:O39</f>
        <v>0.92</v>
      </c>
      <c r="O39" s="56"/>
      <c r="P39" s="17">
        <f t="shared" si="2"/>
        <v>5030.9832000000006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911.41</v>
      </c>
      <c r="M40" s="56"/>
      <c r="N40" s="56">
        <f>'1'!N40:O40</f>
        <v>0.05</v>
      </c>
      <c r="O40" s="56"/>
      <c r="P40" s="17">
        <f t="shared" si="2"/>
        <v>273.423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911.41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911.41</v>
      </c>
      <c r="M42" s="56"/>
      <c r="N42" s="66">
        <f>'1'!N42:O42</f>
        <v>1</v>
      </c>
      <c r="O42" s="66"/>
      <c r="P42" s="17">
        <f t="shared" si="2"/>
        <v>5468.46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911.41</v>
      </c>
      <c r="M43" s="55"/>
      <c r="N43" s="87">
        <f>SUM(N30:O42)</f>
        <v>15.826653450000002</v>
      </c>
      <c r="O43" s="87"/>
      <c r="P43" s="39">
        <f>SUM(P30:P42)</f>
        <v>86547.421325186995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911.41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911.41</v>
      </c>
      <c r="M46" s="56"/>
      <c r="N46" s="56"/>
      <c r="O46" s="56"/>
      <c r="P46" s="17">
        <f t="shared" ref="P46:P48" si="3">L46*N46*6</f>
        <v>0</v>
      </c>
    </row>
    <row r="47" spans="2:16" hidden="1" x14ac:dyDescent="0.25">
      <c r="B47" s="4">
        <v>3</v>
      </c>
      <c r="C47" s="56"/>
      <c r="D47" s="56"/>
      <c r="E47" s="56"/>
      <c r="F47" s="56"/>
      <c r="G47" s="56"/>
      <c r="H47" s="56"/>
      <c r="I47" s="56"/>
      <c r="J47" s="56"/>
      <c r="K47" s="56"/>
      <c r="L47" s="56">
        <v>911.41</v>
      </c>
      <c r="M47" s="56"/>
      <c r="N47" s="56"/>
      <c r="O47" s="56"/>
      <c r="P47" s="17">
        <f t="shared" si="3"/>
        <v>0</v>
      </c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911.41</v>
      </c>
      <c r="M48" s="56"/>
      <c r="N48" s="56"/>
      <c r="O48" s="56"/>
      <c r="P48" s="17">
        <f t="shared" si="3"/>
        <v>0</v>
      </c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911.41</v>
      </c>
      <c r="M49" s="55"/>
      <c r="N49" s="55">
        <f>SUM(N45:O48)</f>
        <v>0</v>
      </c>
      <c r="O49" s="55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911.41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P14:Q14"/>
    <mergeCell ref="P15:Q15"/>
    <mergeCell ref="P16:Q16"/>
    <mergeCell ref="T21:U21"/>
    <mergeCell ref="T15:U15"/>
    <mergeCell ref="T16:U16"/>
    <mergeCell ref="T18:U18"/>
    <mergeCell ref="T19:U19"/>
    <mergeCell ref="T20:U20"/>
    <mergeCell ref="P18:Q18"/>
    <mergeCell ref="P19:Q19"/>
    <mergeCell ref="P20:Q20"/>
    <mergeCell ref="T17:U17"/>
    <mergeCell ref="T14:U14"/>
    <mergeCell ref="R14:S14"/>
    <mergeCell ref="P21:Q21"/>
    <mergeCell ref="R15:S15"/>
    <mergeCell ref="R16:S16"/>
    <mergeCell ref="R18:S18"/>
    <mergeCell ref="R19:S19"/>
    <mergeCell ref="R20:S20"/>
    <mergeCell ref="R21:S21"/>
    <mergeCell ref="P17:Q17"/>
    <mergeCell ref="R17:S17"/>
    <mergeCell ref="B2:V2"/>
    <mergeCell ref="B3:V3"/>
    <mergeCell ref="B4:V4"/>
    <mergeCell ref="P12:Q12"/>
    <mergeCell ref="R12:S12"/>
    <mergeCell ref="T12:U12"/>
    <mergeCell ref="P13:Q13"/>
    <mergeCell ref="R13:S13"/>
    <mergeCell ref="T13:U13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B1:V64"/>
  <sheetViews>
    <sheetView view="pageBreakPreview" zoomScale="80" zoomScaleNormal="84" zoomScaleSheetLayoutView="80" workbookViewId="0">
      <selection activeCell="P18" sqref="P18:Q18"/>
    </sheetView>
  </sheetViews>
  <sheetFormatPr defaultRowHeight="15.75" x14ac:dyDescent="0.25"/>
  <cols>
    <col min="1" max="1" width="2.85546875" style="1" customWidth="1"/>
    <col min="2" max="2" width="4" style="1" bestFit="1" customWidth="1"/>
    <col min="3" max="3" width="38.5703125" style="1" customWidth="1"/>
    <col min="4" max="4" width="13.28515625" style="1" customWidth="1"/>
    <col min="5" max="5" width="11" style="1" customWidth="1"/>
    <col min="6" max="6" width="9.85546875" style="1" customWidth="1"/>
    <col min="7" max="7" width="1.5703125" style="1" customWidth="1"/>
    <col min="8" max="8" width="12.5703125" style="1" customWidth="1"/>
    <col min="9" max="9" width="1.5703125" style="1" customWidth="1"/>
    <col min="10" max="10" width="12" style="1" customWidth="1"/>
    <col min="11" max="11" width="2.28515625" style="1" customWidth="1"/>
    <col min="12" max="12" width="12.140625" style="1" customWidth="1"/>
    <col min="13" max="13" width="1.5703125" style="1" customWidth="1"/>
    <col min="14" max="14" width="16.42578125" style="1" customWidth="1"/>
    <col min="15" max="15" width="1.7109375" style="1" customWidth="1"/>
    <col min="16" max="16" width="13.28515625" style="1" customWidth="1"/>
    <col min="17" max="17" width="10.28515625" style="1" customWidth="1"/>
    <col min="18" max="18" width="11.7109375" style="1" customWidth="1"/>
    <col min="19" max="19" width="10.28515625" style="1" customWidth="1"/>
    <col min="20" max="20" width="15.42578125" style="1" customWidth="1"/>
    <col min="21" max="21" width="10.85546875" style="1" customWidth="1"/>
    <col min="22" max="22" width="12.28515625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53</v>
      </c>
    </row>
    <row r="8" spans="2:22" x14ac:dyDescent="0.25">
      <c r="C8" s="1" t="s">
        <v>33</v>
      </c>
      <c r="D8" s="2">
        <v>718.27</v>
      </c>
    </row>
    <row r="9" spans="2:22" x14ac:dyDescent="0.25">
      <c r="C9" s="1" t="s">
        <v>35</v>
      </c>
      <c r="D9" s="3">
        <v>46</v>
      </c>
    </row>
    <row r="10" spans="2:22" x14ac:dyDescent="0.25">
      <c r="C10" s="1" t="s">
        <v>36</v>
      </c>
      <c r="D10" s="3">
        <v>16</v>
      </c>
    </row>
    <row r="12" spans="2:22" ht="47.25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-410272.8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-59394.8</v>
      </c>
      <c r="G14" s="7"/>
      <c r="H14" s="14">
        <v>-15249.7</v>
      </c>
      <c r="I14" s="7"/>
      <c r="J14" s="14">
        <v>-16152.2</v>
      </c>
      <c r="K14" s="7"/>
      <c r="L14" s="14">
        <v>-185038.8</v>
      </c>
      <c r="M14" s="7"/>
      <c r="N14" s="11">
        <v>-3855.5</v>
      </c>
      <c r="O14" s="7"/>
      <c r="P14" s="71">
        <v>-19043.2</v>
      </c>
      <c r="Q14" s="72"/>
      <c r="R14" s="71">
        <v>-74855.5</v>
      </c>
      <c r="S14" s="72"/>
      <c r="T14" s="71">
        <v>-36683.1</v>
      </c>
      <c r="U14" s="72"/>
      <c r="V14" s="14">
        <f>F14+H14+J14+L14+N14+P14+Q14+R14+S14+T14+U14</f>
        <v>-410272.8</v>
      </c>
    </row>
    <row r="15" spans="2:22" x14ac:dyDescent="0.25">
      <c r="C15" s="9" t="s">
        <v>3</v>
      </c>
      <c r="D15" s="71"/>
      <c r="E15" s="72"/>
      <c r="F15" s="11">
        <f>25186.89+10865.36+21730.72</f>
        <v>57782.97</v>
      </c>
      <c r="G15" s="7"/>
      <c r="H15" s="14"/>
      <c r="I15" s="7"/>
      <c r="J15" s="14">
        <f>1905.94+9751.72</f>
        <v>11657.66</v>
      </c>
      <c r="K15" s="7"/>
      <c r="L15" s="14">
        <f>27021.47+135125.05</f>
        <v>162146.51999999999</v>
      </c>
      <c r="M15" s="7"/>
      <c r="N15" s="11">
        <f>700+3500</f>
        <v>4200</v>
      </c>
      <c r="O15" s="7"/>
      <c r="P15" s="82">
        <f>1291.32+5559.63+1570.8</f>
        <v>8421.75</v>
      </c>
      <c r="Q15" s="83"/>
      <c r="R15" s="82">
        <f>7323.34+28932.68+13075.73</f>
        <v>49331.75</v>
      </c>
      <c r="S15" s="83"/>
      <c r="T15" s="82">
        <f>1840.79+13664.72+1752.7+4832.94</f>
        <v>22091.149999999998</v>
      </c>
      <c r="U15" s="83"/>
      <c r="V15" s="11">
        <f>F15+H15+J15+L15+N15+P15+Q15+R15+S15+T15+U15</f>
        <v>315631.80000000005</v>
      </c>
    </row>
    <row r="16" spans="2:22" x14ac:dyDescent="0.25">
      <c r="C16" s="9" t="s">
        <v>4</v>
      </c>
      <c r="D16" s="71"/>
      <c r="E16" s="72"/>
      <c r="F16" s="11">
        <f>34770.75+8543.18+1.14+1327.12</f>
        <v>44642.19</v>
      </c>
      <c r="G16" s="7"/>
      <c r="H16" s="14">
        <f>633.49+14616.2</f>
        <v>15249.69</v>
      </c>
      <c r="I16" s="7"/>
      <c r="J16" s="14">
        <f>9932.35+13.96</f>
        <v>9946.31</v>
      </c>
      <c r="K16" s="7"/>
      <c r="L16" s="14">
        <f>131826.6+108.27+20956.58</f>
        <v>152891.45000000001</v>
      </c>
      <c r="M16" s="7"/>
      <c r="N16" s="14">
        <f>3439.74+12.67</f>
        <v>3452.41</v>
      </c>
      <c r="O16" s="7"/>
      <c r="P16" s="82">
        <f>5517.95+1554.43+209.86+12.92</f>
        <v>7295.16</v>
      </c>
      <c r="Q16" s="83"/>
      <c r="R16" s="82">
        <f>20810.07+12597.51+1637.63+22.57</f>
        <v>35067.78</v>
      </c>
      <c r="S16" s="83"/>
      <c r="T16" s="82">
        <f>9213.64+4714.74+624+16.27</f>
        <v>14568.65</v>
      </c>
      <c r="U16" s="83"/>
      <c r="V16" s="12">
        <f t="shared" ref="V16:V17" si="0">F16+H16+J16+L16+N16+P16+Q16+R16+S16+T16+U16</f>
        <v>283113.64</v>
      </c>
    </row>
    <row r="17" spans="2:22" ht="31.5" x14ac:dyDescent="0.25">
      <c r="C17" s="10" t="s">
        <v>5</v>
      </c>
      <c r="D17" s="71"/>
      <c r="E17" s="72"/>
      <c r="F17" s="14">
        <f>P43+P49</f>
        <v>68206.862241188996</v>
      </c>
      <c r="G17" s="7"/>
      <c r="H17" s="11">
        <f>P51</f>
        <v>0</v>
      </c>
      <c r="I17" s="7"/>
      <c r="J17" s="14">
        <f>J15</f>
        <v>11657.66</v>
      </c>
      <c r="K17" s="7"/>
      <c r="L17" s="11">
        <f>D8*L20*6</f>
        <v>164110.3296</v>
      </c>
      <c r="M17" s="7"/>
      <c r="N17" s="14">
        <v>3917.3</v>
      </c>
      <c r="O17" s="7"/>
      <c r="P17" s="82">
        <f>P15+Q15</f>
        <v>8421.75</v>
      </c>
      <c r="Q17" s="83"/>
      <c r="R17" s="82">
        <f>R15+S15</f>
        <v>49331.75</v>
      </c>
      <c r="S17" s="83"/>
      <c r="T17" s="82">
        <f>T15+U15+25610.41</f>
        <v>47701.56</v>
      </c>
      <c r="U17" s="72"/>
      <c r="V17" s="12">
        <f t="shared" si="0"/>
        <v>353347.21184118901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1">
        <f>F16-F15+F14</f>
        <v>-72535.58</v>
      </c>
      <c r="G18" s="40"/>
      <c r="H18" s="31">
        <f>H16-H15+H14</f>
        <v>-1.0000000000218279E-2</v>
      </c>
      <c r="I18" s="40"/>
      <c r="J18" s="31">
        <f>J16-J15+J14</f>
        <v>-17863.550000000003</v>
      </c>
      <c r="K18" s="40"/>
      <c r="L18" s="31">
        <f>L16-L15+L14</f>
        <v>-194293.86999999997</v>
      </c>
      <c r="M18" s="40"/>
      <c r="N18" s="31">
        <f>N16-N15+N14</f>
        <v>-4603.09</v>
      </c>
      <c r="O18" s="40"/>
      <c r="P18" s="84">
        <f t="shared" ref="P18:V18" si="1">P16-P15+P14</f>
        <v>-20169.79</v>
      </c>
      <c r="Q18" s="85"/>
      <c r="R18" s="84">
        <f t="shared" si="1"/>
        <v>-89119.47</v>
      </c>
      <c r="S18" s="85"/>
      <c r="T18" s="84">
        <f t="shared" si="1"/>
        <v>-44205.599999999999</v>
      </c>
      <c r="U18" s="85"/>
      <c r="V18" s="31">
        <f t="shared" si="1"/>
        <v>-442790.96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-442790.95999999996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3">
        <f>'1'!H20</f>
        <v>3.54</v>
      </c>
      <c r="I20" s="7"/>
      <c r="J20" s="13">
        <f>'1'!J20</f>
        <v>44.32</v>
      </c>
      <c r="K20" s="7"/>
      <c r="L20" s="11">
        <v>38.08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8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-140.28718272366723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718.27</v>
      </c>
      <c r="M30" s="56"/>
      <c r="N30" s="56">
        <f>'1'!N30:O30</f>
        <v>5.5</v>
      </c>
      <c r="O30" s="56"/>
      <c r="P30" s="17">
        <f>L30*N30*6</f>
        <v>23702.909999999996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718.27</v>
      </c>
      <c r="M31" s="56"/>
      <c r="N31" s="56">
        <f>'1'!N31:O31</f>
        <v>1</v>
      </c>
      <c r="O31" s="56"/>
      <c r="P31" s="17">
        <f t="shared" ref="P31:P42" si="2">L31*N31*6</f>
        <v>4309.62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718.27</v>
      </c>
      <c r="M32" s="56"/>
      <c r="N32" s="56">
        <f>'1'!N32:O32</f>
        <v>0.4</v>
      </c>
      <c r="O32" s="56"/>
      <c r="P32" s="17">
        <f t="shared" si="2"/>
        <v>1723.848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718.27</v>
      </c>
      <c r="M33" s="56"/>
      <c r="N33" s="56">
        <f>'1'!N33:O33</f>
        <v>0.6</v>
      </c>
      <c r="O33" s="56"/>
      <c r="P33" s="17">
        <f t="shared" si="2"/>
        <v>2585.7719999999999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718.27</v>
      </c>
      <c r="M34" s="56"/>
      <c r="N34" s="56">
        <f>'1'!N34:O34</f>
        <v>1</v>
      </c>
      <c r="O34" s="56"/>
      <c r="P34" s="17">
        <f t="shared" si="2"/>
        <v>4309.62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718.27</v>
      </c>
      <c r="M35" s="56"/>
      <c r="N35" s="61">
        <f>'1'!N35:O35</f>
        <v>2.4</v>
      </c>
      <c r="O35" s="61"/>
      <c r="P35" s="17">
        <f t="shared" si="2"/>
        <v>10343.088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718.27</v>
      </c>
      <c r="M36" s="56"/>
      <c r="N36" s="56">
        <f>'1'!N36:O36</f>
        <v>1.4198999999999999</v>
      </c>
      <c r="O36" s="56"/>
      <c r="P36" s="17">
        <f t="shared" si="2"/>
        <v>6119.2294379999994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718.27</v>
      </c>
      <c r="M37" s="56"/>
      <c r="N37" s="61">
        <f>'1'!N37:O37</f>
        <v>1.2367534499999999</v>
      </c>
      <c r="O37" s="61"/>
      <c r="P37" s="17">
        <f t="shared" si="2"/>
        <v>5329.9374031890002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718.27</v>
      </c>
      <c r="M38" s="56"/>
      <c r="N38" s="61">
        <f>'1'!N38:O38</f>
        <v>0.3</v>
      </c>
      <c r="O38" s="61"/>
      <c r="P38" s="17">
        <f t="shared" si="2"/>
        <v>1292.886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718.27</v>
      </c>
      <c r="M39" s="56"/>
      <c r="N39" s="56">
        <f>'1'!N39:O39</f>
        <v>0.92</v>
      </c>
      <c r="O39" s="56"/>
      <c r="P39" s="17">
        <f t="shared" si="2"/>
        <v>3964.8504000000003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718.27</v>
      </c>
      <c r="M40" s="56"/>
      <c r="N40" s="56">
        <f>'1'!N40:O40</f>
        <v>0.05</v>
      </c>
      <c r="O40" s="56"/>
      <c r="P40" s="17">
        <f t="shared" si="2"/>
        <v>215.48099999999999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718.27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718.27</v>
      </c>
      <c r="M42" s="56"/>
      <c r="N42" s="66">
        <f>'1'!N42:O42</f>
        <v>1</v>
      </c>
      <c r="O42" s="66"/>
      <c r="P42" s="17">
        <f t="shared" si="2"/>
        <v>4309.62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718.27</v>
      </c>
      <c r="M43" s="55"/>
      <c r="N43" s="87">
        <f>SUM(N30:O42)</f>
        <v>15.826653450000002</v>
      </c>
      <c r="O43" s="87"/>
      <c r="P43" s="39">
        <f>SUM(P30:P42)</f>
        <v>68206.862241188996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75</v>
      </c>
      <c r="D45" s="59"/>
      <c r="E45" s="59"/>
      <c r="F45" s="59"/>
      <c r="G45" s="59"/>
      <c r="H45" s="59"/>
      <c r="I45" s="59"/>
      <c r="J45" s="59"/>
      <c r="K45" s="60"/>
      <c r="L45" s="56">
        <v>718.27</v>
      </c>
      <c r="M45" s="56"/>
      <c r="N45" s="56"/>
      <c r="O45" s="56"/>
      <c r="P45" s="17">
        <f>L45*N45*6</f>
        <v>0</v>
      </c>
    </row>
    <row r="46" spans="2:16" hidden="1" x14ac:dyDescent="0.25">
      <c r="B46" s="4">
        <v>2</v>
      </c>
      <c r="C46" s="58" t="s">
        <v>76</v>
      </c>
      <c r="D46" s="59"/>
      <c r="E46" s="59"/>
      <c r="F46" s="59"/>
      <c r="G46" s="59"/>
      <c r="H46" s="59"/>
      <c r="I46" s="59"/>
      <c r="J46" s="59"/>
      <c r="K46" s="60"/>
      <c r="L46" s="56">
        <v>718.27</v>
      </c>
      <c r="M46" s="56"/>
      <c r="N46" s="56"/>
      <c r="O46" s="56"/>
      <c r="P46" s="17">
        <f t="shared" ref="P46:P48" si="3">L46*N46*6</f>
        <v>0</v>
      </c>
    </row>
    <row r="47" spans="2:16" hidden="1" x14ac:dyDescent="0.25">
      <c r="B47" s="4">
        <v>3</v>
      </c>
      <c r="C47" s="58" t="s">
        <v>91</v>
      </c>
      <c r="D47" s="59"/>
      <c r="E47" s="59"/>
      <c r="F47" s="59"/>
      <c r="G47" s="59"/>
      <c r="H47" s="59"/>
      <c r="I47" s="59"/>
      <c r="J47" s="59"/>
      <c r="K47" s="60"/>
      <c r="L47" s="56">
        <v>718.27</v>
      </c>
      <c r="M47" s="56"/>
      <c r="N47" s="66"/>
      <c r="O47" s="66"/>
      <c r="P47" s="17"/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718.27</v>
      </c>
      <c r="M48" s="56"/>
      <c r="N48" s="56"/>
      <c r="O48" s="56"/>
      <c r="P48" s="17">
        <f t="shared" si="3"/>
        <v>0</v>
      </c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718.27</v>
      </c>
      <c r="M49" s="55"/>
      <c r="N49" s="87">
        <f>SUM(N45:O48)</f>
        <v>0</v>
      </c>
      <c r="O49" s="87"/>
      <c r="P49" s="39">
        <f>SUM(P45:P48)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718.27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100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2:U12"/>
    <mergeCell ref="T13:U13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B1:V64"/>
  <sheetViews>
    <sheetView view="pageBreakPreview" topLeftCell="A10" zoomScale="82" zoomScaleNormal="84" zoomScaleSheetLayoutView="82" workbookViewId="0">
      <selection activeCell="P18" sqref="P18:Q18"/>
    </sheetView>
  </sheetViews>
  <sheetFormatPr defaultRowHeight="15.75" x14ac:dyDescent="0.25"/>
  <cols>
    <col min="1" max="1" width="2.85546875" style="1" customWidth="1"/>
    <col min="2" max="2" width="4" style="1" bestFit="1" customWidth="1"/>
    <col min="3" max="3" width="37.7109375" style="1" customWidth="1"/>
    <col min="4" max="4" width="13.28515625" style="1" customWidth="1"/>
    <col min="5" max="5" width="11" style="1" customWidth="1"/>
    <col min="6" max="6" width="9.140625" style="1"/>
    <col min="7" max="7" width="1.5703125" style="1" customWidth="1"/>
    <col min="8" max="8" width="12.5703125" style="1" customWidth="1"/>
    <col min="9" max="9" width="1.5703125" style="1" customWidth="1"/>
    <col min="10" max="10" width="11.85546875" style="1" customWidth="1"/>
    <col min="11" max="11" width="2.28515625" style="1" customWidth="1"/>
    <col min="12" max="12" width="12.140625" style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2.28515625" style="1" customWidth="1"/>
    <col min="19" max="19" width="10.28515625" style="1" customWidth="1"/>
    <col min="20" max="20" width="14.5703125" style="1" customWidth="1"/>
    <col min="21" max="21" width="10.85546875" style="1" customWidth="1"/>
    <col min="22" max="22" width="12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x14ac:dyDescent="0.25">
      <c r="C6" s="29" t="s">
        <v>54</v>
      </c>
    </row>
    <row r="8" spans="2:22" x14ac:dyDescent="0.25">
      <c r="C8" s="1" t="s">
        <v>33</v>
      </c>
      <c r="D8" s="2">
        <v>718.25</v>
      </c>
    </row>
    <row r="9" spans="2:22" x14ac:dyDescent="0.25">
      <c r="C9" s="1" t="s">
        <v>35</v>
      </c>
      <c r="D9" s="3">
        <v>41</v>
      </c>
    </row>
    <row r="10" spans="2:22" x14ac:dyDescent="0.25">
      <c r="C10" s="1" t="s">
        <v>36</v>
      </c>
      <c r="D10" s="3">
        <v>16</v>
      </c>
    </row>
    <row r="12" spans="2:22" ht="47.25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-220869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-45962</v>
      </c>
      <c r="G14" s="7"/>
      <c r="H14" s="11">
        <v>-7562.8</v>
      </c>
      <c r="I14" s="7"/>
      <c r="J14" s="11">
        <v>-7045.3</v>
      </c>
      <c r="K14" s="7"/>
      <c r="L14" s="11">
        <v>-137366.5</v>
      </c>
      <c r="M14" s="7"/>
      <c r="N14" s="11">
        <v>-2987.5</v>
      </c>
      <c r="O14" s="7"/>
      <c r="P14" s="71">
        <v>-2624.1</v>
      </c>
      <c r="Q14" s="72"/>
      <c r="R14" s="82">
        <v>-10155.9</v>
      </c>
      <c r="S14" s="83"/>
      <c r="T14" s="82">
        <v>-7164.9</v>
      </c>
      <c r="U14" s="83"/>
      <c r="V14" s="14">
        <f>F14+H14+J14+L14+N14+P14+R14+S14+T14+U14+Q14</f>
        <v>-220869</v>
      </c>
    </row>
    <row r="15" spans="2:22" x14ac:dyDescent="0.25">
      <c r="C15" s="9" t="s">
        <v>3</v>
      </c>
      <c r="D15" s="71"/>
      <c r="E15" s="72"/>
      <c r="F15" s="11">
        <f>10848.43+26118.55+20972.86</f>
        <v>57939.839999999997</v>
      </c>
      <c r="G15" s="7"/>
      <c r="H15" s="14"/>
      <c r="I15" s="7"/>
      <c r="J15" s="11">
        <f>1595.64+8109.23</f>
        <v>9704.869999999999</v>
      </c>
      <c r="K15" s="7"/>
      <c r="L15" s="11">
        <f>27244.22+136238.9</f>
        <v>163483.12</v>
      </c>
      <c r="M15" s="7"/>
      <c r="N15" s="11">
        <f>650+3000</f>
        <v>3650</v>
      </c>
      <c r="O15" s="7"/>
      <c r="P15" s="82">
        <f>962.75+4154.91+2223.99</f>
        <v>7341.65</v>
      </c>
      <c r="Q15" s="83"/>
      <c r="R15" s="82">
        <f>5169.14+21622.47+20403.78</f>
        <v>47195.39</v>
      </c>
      <c r="S15" s="83"/>
      <c r="T15" s="82">
        <f>1372.43+10212.15+1025.38+7217.69</f>
        <v>19827.649999999998</v>
      </c>
      <c r="U15" s="83"/>
      <c r="V15" s="14">
        <f>F15+H15+J15+L15+N15+P15+R15+S15+T15+U15+Q15</f>
        <v>309142.52</v>
      </c>
    </row>
    <row r="16" spans="2:22" x14ac:dyDescent="0.25">
      <c r="C16" s="9" t="s">
        <v>4</v>
      </c>
      <c r="D16" s="71"/>
      <c r="E16" s="72"/>
      <c r="F16" s="11">
        <f>29729.89+7564.02+158.81+1440.63</f>
        <v>38893.35</v>
      </c>
      <c r="G16" s="7"/>
      <c r="H16" s="14">
        <f>351.77+7211</f>
        <v>7562.77</v>
      </c>
      <c r="I16" s="7"/>
      <c r="J16" s="14">
        <f>6891.02+107.02</f>
        <v>6998.0400000000009</v>
      </c>
      <c r="K16" s="7"/>
      <c r="L16" s="14">
        <f>112387.17+33448.97+959.2</f>
        <v>146795.34000000003</v>
      </c>
      <c r="M16" s="7"/>
      <c r="N16" s="18">
        <f>2288.04+78.44</f>
        <v>2366.48</v>
      </c>
      <c r="O16" s="7"/>
      <c r="P16" s="82">
        <f>3421.84+1838.4+61.72+108.26</f>
        <v>5430.22</v>
      </c>
      <c r="Q16" s="83"/>
      <c r="R16" s="82">
        <f>16954.74+15431.34+844.08+332.23</f>
        <v>33562.390000000007</v>
      </c>
      <c r="S16" s="83"/>
      <c r="T16" s="82">
        <f>8362.48+5681.7+197.43+195.21</f>
        <v>14436.82</v>
      </c>
      <c r="U16" s="83"/>
      <c r="V16" s="14">
        <f t="shared" ref="V16:V17" si="0">F16+H16+J16+L16+N16+P16+R16+S16+T16+U16+Q16</f>
        <v>256045.41000000006</v>
      </c>
    </row>
    <row r="17" spans="2:22" ht="31.5" x14ac:dyDescent="0.25">
      <c r="C17" s="10" t="s">
        <v>5</v>
      </c>
      <c r="D17" s="71"/>
      <c r="E17" s="72"/>
      <c r="F17" s="14">
        <f>P43+P49</f>
        <v>68204.963042774994</v>
      </c>
      <c r="G17" s="7"/>
      <c r="H17" s="11">
        <f>P51</f>
        <v>0</v>
      </c>
      <c r="I17" s="7"/>
      <c r="J17" s="11">
        <f>J15</f>
        <v>9704.869999999999</v>
      </c>
      <c r="K17" s="7"/>
      <c r="L17" s="14">
        <f>D8*L20*6</f>
        <v>164105.76</v>
      </c>
      <c r="M17" s="7"/>
      <c r="N17" s="18">
        <v>3917.3</v>
      </c>
      <c r="O17" s="7"/>
      <c r="P17" s="82">
        <f>P15+Q15</f>
        <v>7341.65</v>
      </c>
      <c r="Q17" s="83"/>
      <c r="R17" s="82">
        <f>R15+S15</f>
        <v>47195.39</v>
      </c>
      <c r="S17" s="83"/>
      <c r="T17" s="82">
        <f>T15+U15+25610.41</f>
        <v>45438.06</v>
      </c>
      <c r="U17" s="83"/>
      <c r="V17" s="14">
        <f t="shared" si="0"/>
        <v>345907.99304277496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-65008.49</v>
      </c>
      <c r="G18" s="32"/>
      <c r="H18" s="31">
        <f>H16-H15+H14</f>
        <v>-2.9999999999745341E-2</v>
      </c>
      <c r="I18" s="40"/>
      <c r="J18" s="31">
        <f>J16-J15+J14</f>
        <v>-9752.1299999999974</v>
      </c>
      <c r="K18" s="40"/>
      <c r="L18" s="31">
        <f>L16-L15+L14</f>
        <v>-154054.27999999997</v>
      </c>
      <c r="M18" s="40"/>
      <c r="N18" s="31">
        <f>N16-N15+N14</f>
        <v>-4271.0200000000004</v>
      </c>
      <c r="O18" s="40"/>
      <c r="P18" s="84">
        <f>P16-P15+P14</f>
        <v>-4535.5299999999988</v>
      </c>
      <c r="Q18" s="85"/>
      <c r="R18" s="84">
        <f>R16-R15+R14</f>
        <v>-23788.899999999994</v>
      </c>
      <c r="S18" s="85"/>
      <c r="T18" s="84">
        <f t="shared" ref="T18:V18" si="1">T16-T15+T14</f>
        <v>-12555.729999999998</v>
      </c>
      <c r="U18" s="85"/>
      <c r="V18" s="31">
        <f t="shared" si="1"/>
        <v>-273966.11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-273966.10999999993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38.08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4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-88.621296740416014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718.25</v>
      </c>
      <c r="M30" s="56"/>
      <c r="N30" s="56">
        <f>'1'!N30:O30</f>
        <v>5.5</v>
      </c>
      <c r="O30" s="56"/>
      <c r="P30" s="17">
        <f>L30*N30*6</f>
        <v>23702.25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718.25</v>
      </c>
      <c r="M31" s="56"/>
      <c r="N31" s="56">
        <f>'1'!N31:O31</f>
        <v>1</v>
      </c>
      <c r="O31" s="56"/>
      <c r="P31" s="17">
        <f t="shared" ref="P31:P42" si="2">L31*N31*6</f>
        <v>4309.5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718.25</v>
      </c>
      <c r="M32" s="56"/>
      <c r="N32" s="56">
        <f>'1'!N32:O32</f>
        <v>0.4</v>
      </c>
      <c r="O32" s="56"/>
      <c r="P32" s="17">
        <f t="shared" si="2"/>
        <v>1723.8000000000002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718.25</v>
      </c>
      <c r="M33" s="56"/>
      <c r="N33" s="56">
        <f>'1'!N33:O33</f>
        <v>0.6</v>
      </c>
      <c r="O33" s="56"/>
      <c r="P33" s="17">
        <f>L33*N33*6</f>
        <v>2585.6999999999998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718.25</v>
      </c>
      <c r="M34" s="56"/>
      <c r="N34" s="56">
        <f>'1'!N34:O34</f>
        <v>1</v>
      </c>
      <c r="O34" s="56"/>
      <c r="P34" s="17">
        <f t="shared" si="2"/>
        <v>4309.5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718.25</v>
      </c>
      <c r="M35" s="56"/>
      <c r="N35" s="61">
        <f>'1'!N35:O35</f>
        <v>2.4</v>
      </c>
      <c r="O35" s="61"/>
      <c r="P35" s="17">
        <f t="shared" si="2"/>
        <v>10342.799999999999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718.25</v>
      </c>
      <c r="M36" s="56"/>
      <c r="N36" s="56">
        <f>'1'!N36:O36</f>
        <v>1.4198999999999999</v>
      </c>
      <c r="O36" s="56"/>
      <c r="P36" s="17">
        <f t="shared" si="2"/>
        <v>6119.0590499999998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718.25</v>
      </c>
      <c r="M37" s="56"/>
      <c r="N37" s="61">
        <f>'1'!N37:O37</f>
        <v>1.2367534499999999</v>
      </c>
      <c r="O37" s="61"/>
      <c r="P37" s="17">
        <f t="shared" si="2"/>
        <v>5329.7889927749993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718.25</v>
      </c>
      <c r="M38" s="56"/>
      <c r="N38" s="61">
        <f>'1'!N38:O38</f>
        <v>0.3</v>
      </c>
      <c r="O38" s="61"/>
      <c r="P38" s="17">
        <f t="shared" si="2"/>
        <v>1292.8499999999999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718.25</v>
      </c>
      <c r="M39" s="56"/>
      <c r="N39" s="56">
        <f>'1'!N39:O39</f>
        <v>0.92</v>
      </c>
      <c r="O39" s="56"/>
      <c r="P39" s="17">
        <f t="shared" si="2"/>
        <v>3964.7400000000007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718.25</v>
      </c>
      <c r="M40" s="56"/>
      <c r="N40" s="56">
        <f>'1'!N40:O40</f>
        <v>0.05</v>
      </c>
      <c r="O40" s="56"/>
      <c r="P40" s="17">
        <f t="shared" si="2"/>
        <v>215.47500000000002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718.25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718.25</v>
      </c>
      <c r="M42" s="56"/>
      <c r="N42" s="66">
        <f>'1'!N42:O42</f>
        <v>1</v>
      </c>
      <c r="O42" s="66"/>
      <c r="P42" s="17">
        <f t="shared" si="2"/>
        <v>4309.5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718.25</v>
      </c>
      <c r="M43" s="55"/>
      <c r="N43" s="87">
        <f>SUM(N30:O42)</f>
        <v>15.826653450000002</v>
      </c>
      <c r="O43" s="87"/>
      <c r="P43" s="39">
        <f>SUM(P30:P42)</f>
        <v>68204.963042774994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73</v>
      </c>
      <c r="D45" s="59"/>
      <c r="E45" s="59"/>
      <c r="F45" s="59"/>
      <c r="G45" s="59"/>
      <c r="H45" s="59"/>
      <c r="I45" s="59"/>
      <c r="J45" s="59"/>
      <c r="K45" s="60"/>
      <c r="L45" s="56">
        <v>718.25</v>
      </c>
      <c r="M45" s="56"/>
      <c r="N45" s="61">
        <f>P45/L45/6</f>
        <v>0</v>
      </c>
      <c r="O45" s="61"/>
      <c r="P45" s="17"/>
    </row>
    <row r="46" spans="2:16" hidden="1" x14ac:dyDescent="0.25">
      <c r="B46" s="4">
        <v>1</v>
      </c>
      <c r="C46" s="58" t="s">
        <v>75</v>
      </c>
      <c r="D46" s="59"/>
      <c r="E46" s="59"/>
      <c r="F46" s="59"/>
      <c r="G46" s="59"/>
      <c r="H46" s="59"/>
      <c r="I46" s="59"/>
      <c r="J46" s="59"/>
      <c r="K46" s="60"/>
      <c r="L46" s="56">
        <v>718.25</v>
      </c>
      <c r="M46" s="56"/>
      <c r="N46" s="56"/>
      <c r="O46" s="56"/>
      <c r="P46" s="17">
        <f>N46*L46*6</f>
        <v>0</v>
      </c>
    </row>
    <row r="47" spans="2:16" hidden="1" x14ac:dyDescent="0.25">
      <c r="B47" s="4">
        <v>2</v>
      </c>
      <c r="C47" s="58" t="s">
        <v>76</v>
      </c>
      <c r="D47" s="59"/>
      <c r="E47" s="59"/>
      <c r="F47" s="59"/>
      <c r="G47" s="59"/>
      <c r="H47" s="59"/>
      <c r="I47" s="59"/>
      <c r="J47" s="59"/>
      <c r="K47" s="60"/>
      <c r="L47" s="56">
        <v>718.25</v>
      </c>
      <c r="M47" s="56"/>
      <c r="N47" s="56"/>
      <c r="O47" s="56"/>
      <c r="P47" s="17">
        <f>N47*L47*6</f>
        <v>0</v>
      </c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718.25</v>
      </c>
      <c r="M48" s="56"/>
      <c r="N48" s="56"/>
      <c r="O48" s="56"/>
      <c r="P48" s="17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718.25</v>
      </c>
      <c r="M49" s="55"/>
      <c r="N49" s="87">
        <f>N45+N46+N47+N48</f>
        <v>0</v>
      </c>
      <c r="O49" s="87"/>
      <c r="P49" s="49">
        <f>P45+P46+P47+P48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718.25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R16:S16"/>
    <mergeCell ref="R18:S18"/>
    <mergeCell ref="R19:S19"/>
    <mergeCell ref="R20:S20"/>
    <mergeCell ref="R21:S21"/>
    <mergeCell ref="P17:Q17"/>
    <mergeCell ref="R17:S17"/>
    <mergeCell ref="P16:Q16"/>
    <mergeCell ref="T16:U16"/>
    <mergeCell ref="T18:U18"/>
    <mergeCell ref="T19:U19"/>
    <mergeCell ref="T20:U20"/>
    <mergeCell ref="T21:U21"/>
    <mergeCell ref="P18:Q18"/>
    <mergeCell ref="P19:Q19"/>
    <mergeCell ref="P20:Q20"/>
    <mergeCell ref="P21:Q21"/>
    <mergeCell ref="T17:U17"/>
    <mergeCell ref="B2:V2"/>
    <mergeCell ref="B3:V3"/>
    <mergeCell ref="B4:V4"/>
    <mergeCell ref="P12:Q12"/>
    <mergeCell ref="R12:S12"/>
    <mergeCell ref="T12:U12"/>
    <mergeCell ref="P13:Q13"/>
    <mergeCell ref="P14:Q14"/>
    <mergeCell ref="P15:Q15"/>
    <mergeCell ref="T13:U13"/>
    <mergeCell ref="T14:U14"/>
    <mergeCell ref="T15:U15"/>
    <mergeCell ref="R13:S13"/>
    <mergeCell ref="R14:S14"/>
    <mergeCell ref="R15:S15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B1:V64"/>
  <sheetViews>
    <sheetView view="pageBreakPreview" zoomScale="79" zoomScaleNormal="84" zoomScaleSheetLayoutView="79" workbookViewId="0">
      <selection activeCell="P18" sqref="P18:Q18"/>
    </sheetView>
  </sheetViews>
  <sheetFormatPr defaultRowHeight="15.75" x14ac:dyDescent="0.25"/>
  <cols>
    <col min="1" max="1" width="3" style="1" customWidth="1"/>
    <col min="2" max="2" width="3.7109375" style="1" bestFit="1" customWidth="1"/>
    <col min="3" max="3" width="39.7109375" style="1" customWidth="1"/>
    <col min="4" max="4" width="13.28515625" style="1" customWidth="1"/>
    <col min="5" max="5" width="10.5703125" style="1" customWidth="1"/>
    <col min="6" max="6" width="9.42578125" style="1" bestFit="1" customWidth="1"/>
    <col min="7" max="7" width="1.5703125" style="1" customWidth="1"/>
    <col min="8" max="8" width="12.5703125" style="1" customWidth="1"/>
    <col min="9" max="9" width="1.5703125" style="1" customWidth="1"/>
    <col min="10" max="10" width="11.7109375" style="1" customWidth="1"/>
    <col min="11" max="11" width="2.28515625" style="1" customWidth="1"/>
    <col min="12" max="12" width="12.140625" style="1" customWidth="1"/>
    <col min="13" max="13" width="1.5703125" style="1" customWidth="1"/>
    <col min="14" max="14" width="15.7109375" style="1" customWidth="1"/>
    <col min="15" max="15" width="1.7109375" style="1" customWidth="1"/>
    <col min="16" max="16" width="12" style="1" customWidth="1"/>
    <col min="17" max="17" width="10.28515625" style="1" customWidth="1"/>
    <col min="18" max="18" width="11.140625" style="1" customWidth="1"/>
    <col min="19" max="19" width="10.28515625" style="1" customWidth="1"/>
    <col min="20" max="20" width="14.7109375" style="1" customWidth="1"/>
    <col min="21" max="21" width="10.85546875" style="1" customWidth="1"/>
    <col min="22" max="22" width="11" style="1" customWidth="1"/>
    <col min="23" max="16384" width="9.140625" style="1"/>
  </cols>
  <sheetData>
    <row r="1" spans="2:22" ht="16.5" thickBot="1" x14ac:dyDescent="0.3"/>
    <row r="2" spans="2:22" x14ac:dyDescent="0.25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2:22" x14ac:dyDescent="0.25">
      <c r="B3" s="76" t="str">
        <f>'1'!B3:V3</f>
        <v>с 1.01.2015 по 30.06.2015 г.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2:22" ht="16.5" thickBot="1" x14ac:dyDescent="0.3"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2:22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2:22" x14ac:dyDescent="0.25">
      <c r="C6" s="29" t="s">
        <v>55</v>
      </c>
    </row>
    <row r="8" spans="2:22" x14ac:dyDescent="0.25">
      <c r="C8" s="1" t="s">
        <v>33</v>
      </c>
      <c r="D8" s="2">
        <v>721</v>
      </c>
    </row>
    <row r="9" spans="2:22" x14ac:dyDescent="0.25">
      <c r="C9" s="1" t="s">
        <v>35</v>
      </c>
      <c r="D9" s="3">
        <v>43</v>
      </c>
    </row>
    <row r="10" spans="2:22" x14ac:dyDescent="0.25">
      <c r="C10" s="1" t="s">
        <v>36</v>
      </c>
      <c r="D10" s="3">
        <v>16</v>
      </c>
    </row>
    <row r="12" spans="2:22" ht="47.25" x14ac:dyDescent="0.25">
      <c r="C12" s="27" t="s">
        <v>1</v>
      </c>
      <c r="D12" s="69" t="str">
        <f>'1'!D12:E12</f>
        <v>Содержание общего имущества дома</v>
      </c>
      <c r="E12" s="70"/>
      <c r="F12" s="27" t="s">
        <v>8</v>
      </c>
      <c r="G12" s="7"/>
      <c r="H12" s="27" t="s">
        <v>9</v>
      </c>
      <c r="I12" s="7"/>
      <c r="J12" s="28" t="str">
        <f>'1'!J12</f>
        <v>Вывоз ТБО (руб./чел.)</v>
      </c>
      <c r="K12" s="7"/>
      <c r="L12" s="28" t="s">
        <v>69</v>
      </c>
      <c r="M12" s="7"/>
      <c r="N12" s="28" t="str">
        <f>'1'!N12</f>
        <v>Обслуживание антены (руб./лиц.сч.)</v>
      </c>
      <c r="O12" s="8"/>
      <c r="P12" s="69" t="str">
        <f>'1'!P12</f>
        <v xml:space="preserve">Хол. вода </v>
      </c>
      <c r="Q12" s="70"/>
      <c r="R12" s="69" t="str">
        <f>'1'!R12</f>
        <v xml:space="preserve">Гор. вода </v>
      </c>
      <c r="S12" s="70"/>
      <c r="T12" s="69" t="str">
        <f>'1'!T12</f>
        <v>Канализация</v>
      </c>
      <c r="U12" s="70"/>
      <c r="V12" s="27" t="s">
        <v>10</v>
      </c>
    </row>
    <row r="13" spans="2:22" x14ac:dyDescent="0.25">
      <c r="C13" s="9" t="s">
        <v>2</v>
      </c>
      <c r="D13" s="71"/>
      <c r="E13" s="72"/>
      <c r="F13" s="11"/>
      <c r="G13" s="7"/>
      <c r="H13" s="11"/>
      <c r="I13" s="7"/>
      <c r="J13" s="11"/>
      <c r="K13" s="7"/>
      <c r="L13" s="11"/>
      <c r="M13" s="7"/>
      <c r="N13" s="11"/>
      <c r="O13" s="7"/>
      <c r="P13" s="71"/>
      <c r="Q13" s="72"/>
      <c r="R13" s="71"/>
      <c r="S13" s="72"/>
      <c r="T13" s="71"/>
      <c r="U13" s="72"/>
      <c r="V13" s="30">
        <f>V14</f>
        <v>-313866.3</v>
      </c>
    </row>
    <row r="14" spans="2:22" ht="47.25" x14ac:dyDescent="0.25">
      <c r="C14" s="10" t="str">
        <f>'1'!C14</f>
        <v>Остаток с предыдущего периода (задолженность(-), переплата (+)) на 01.01.2015г.</v>
      </c>
      <c r="D14" s="71"/>
      <c r="E14" s="72"/>
      <c r="F14" s="11">
        <v>-59730</v>
      </c>
      <c r="G14" s="7"/>
      <c r="H14" s="11">
        <v>-13908.5</v>
      </c>
      <c r="I14" s="7"/>
      <c r="J14" s="14">
        <v>-8908.9</v>
      </c>
      <c r="K14" s="7"/>
      <c r="L14" s="14">
        <v>-172826.9</v>
      </c>
      <c r="M14" s="7"/>
      <c r="N14" s="11">
        <v>-3848.7</v>
      </c>
      <c r="O14" s="7"/>
      <c r="P14" s="82">
        <v>-6264.7</v>
      </c>
      <c r="Q14" s="83"/>
      <c r="R14" s="71">
        <v>-32470.3</v>
      </c>
      <c r="S14" s="72"/>
      <c r="T14" s="82">
        <v>-15908.3</v>
      </c>
      <c r="U14" s="83"/>
      <c r="V14" s="14">
        <f>F14+H14+J14+L14+N14+P14+Q14+R14+S14+T14+U14</f>
        <v>-313866.3</v>
      </c>
    </row>
    <row r="15" spans="2:22" x14ac:dyDescent="0.25">
      <c r="C15" s="9" t="s">
        <v>3</v>
      </c>
      <c r="D15" s="71"/>
      <c r="E15" s="72"/>
      <c r="F15" s="11">
        <f>26045.98+1620.08+21312.44</f>
        <v>48978.5</v>
      </c>
      <c r="G15" s="7"/>
      <c r="H15" s="14"/>
      <c r="I15" s="7"/>
      <c r="J15" s="14">
        <f>141.01+9440.16</f>
        <v>9581.17</v>
      </c>
      <c r="K15" s="7"/>
      <c r="L15" s="11">
        <f>2696.18+139849.98</f>
        <v>142546.16</v>
      </c>
      <c r="M15" s="7"/>
      <c r="N15" s="11">
        <f>83.34+3750</f>
        <v>3833.34</v>
      </c>
      <c r="O15" s="7"/>
      <c r="P15" s="82">
        <f>-1143.13+1195.74+3786.91</f>
        <v>3839.5199999999995</v>
      </c>
      <c r="Q15" s="83"/>
      <c r="R15" s="82">
        <f>-8229.81+6222.72+24312.39</f>
        <v>22305.3</v>
      </c>
      <c r="S15" s="83"/>
      <c r="T15" s="82">
        <f>-4099.11+2938.95+661.5+10221</f>
        <v>9722.34</v>
      </c>
      <c r="U15" s="83"/>
      <c r="V15" s="11">
        <f>F15+H15+J15+L15+N15+P15+Q15+R15+S15+T15+U15</f>
        <v>240806.33</v>
      </c>
    </row>
    <row r="16" spans="2:22" x14ac:dyDescent="0.25">
      <c r="C16" s="9" t="s">
        <v>4</v>
      </c>
      <c r="D16" s="71"/>
      <c r="E16" s="72"/>
      <c r="F16" s="11">
        <f>42734.67+8688.73+2425.17</f>
        <v>53848.569999999992</v>
      </c>
      <c r="G16" s="7"/>
      <c r="H16" s="14">
        <f>4486.56+9421.9</f>
        <v>13908.46</v>
      </c>
      <c r="I16" s="7"/>
      <c r="J16" s="14">
        <f>10775.71+463.8</f>
        <v>11239.509999999998</v>
      </c>
      <c r="K16" s="7"/>
      <c r="L16" s="11">
        <f>155389.63+38382.14+3009.76</f>
        <v>196781.53000000003</v>
      </c>
      <c r="M16" s="7"/>
      <c r="N16" s="14">
        <f>4149.82+151.35</f>
        <v>4301.17</v>
      </c>
      <c r="O16" s="7"/>
      <c r="P16" s="82">
        <f>3802.4+4378.36+221.77+0.06</f>
        <v>8402.59</v>
      </c>
      <c r="Q16" s="83"/>
      <c r="R16" s="82">
        <f>19217.47+28288.93+1576.55+0.06</f>
        <v>49083.01</v>
      </c>
      <c r="S16" s="83"/>
      <c r="T16" s="82">
        <f>9394.8+11847.17+37.32+551.57</f>
        <v>21830.86</v>
      </c>
      <c r="U16" s="83"/>
      <c r="V16" s="12">
        <f t="shared" ref="V16:V17" si="0">F16+H16+J16+L16+N16+P16+Q16+R16+S16+T16+U16</f>
        <v>359395.7</v>
      </c>
    </row>
    <row r="17" spans="2:22" ht="31.5" x14ac:dyDescent="0.25">
      <c r="C17" s="10" t="s">
        <v>5</v>
      </c>
      <c r="D17" s="71"/>
      <c r="E17" s="72"/>
      <c r="F17" s="14">
        <f>P43+P49</f>
        <v>68466.102824700007</v>
      </c>
      <c r="G17" s="7"/>
      <c r="H17" s="11">
        <f>P51</f>
        <v>0</v>
      </c>
      <c r="I17" s="7"/>
      <c r="J17" s="14">
        <f>J15</f>
        <v>9581.17</v>
      </c>
      <c r="K17" s="7"/>
      <c r="L17" s="11">
        <f>D8*L20*6</f>
        <v>164734.08000000002</v>
      </c>
      <c r="M17" s="7"/>
      <c r="N17" s="14">
        <v>3917.3</v>
      </c>
      <c r="O17" s="7"/>
      <c r="P17" s="82">
        <f>P15+Q15</f>
        <v>3839.5199999999995</v>
      </c>
      <c r="Q17" s="83"/>
      <c r="R17" s="82">
        <f>R15+S15</f>
        <v>22305.3</v>
      </c>
      <c r="S17" s="83"/>
      <c r="T17" s="82">
        <f>T15+U15+25610.41</f>
        <v>35332.75</v>
      </c>
      <c r="U17" s="83"/>
      <c r="V17" s="12">
        <f t="shared" si="0"/>
        <v>308176.2228247</v>
      </c>
    </row>
    <row r="18" spans="2:22" ht="31.5" x14ac:dyDescent="0.25">
      <c r="C18" s="10" t="str">
        <f>'1'!C18</f>
        <v>Текущий остаток (задолженность (-), переплата (+)) на 30.06.2015 г.</v>
      </c>
      <c r="D18" s="71"/>
      <c r="E18" s="72"/>
      <c r="F18" s="33">
        <f>F16-F15+F14</f>
        <v>-54859.930000000008</v>
      </c>
      <c r="G18" s="32"/>
      <c r="H18" s="31">
        <f>H16-H15+H14</f>
        <v>-4.0000000000873115E-2</v>
      </c>
      <c r="I18" s="40"/>
      <c r="J18" s="31">
        <f>J16-J15+J14</f>
        <v>-7250.5600000000013</v>
      </c>
      <c r="K18" s="40"/>
      <c r="L18" s="31">
        <f>L16-L15+L14</f>
        <v>-118591.52999999997</v>
      </c>
      <c r="M18" s="40"/>
      <c r="N18" s="31">
        <f>N16-N15+N14</f>
        <v>-3380.87</v>
      </c>
      <c r="O18" s="40"/>
      <c r="P18" s="84">
        <f>P16-P15+P14</f>
        <v>-1701.6299999999992</v>
      </c>
      <c r="Q18" s="85"/>
      <c r="R18" s="84">
        <f t="shared" ref="R18:V18" si="1">R16-R15+R14</f>
        <v>-5692.5899999999965</v>
      </c>
      <c r="S18" s="85"/>
      <c r="T18" s="84">
        <f t="shared" si="1"/>
        <v>-3799.7799999999988</v>
      </c>
      <c r="U18" s="85"/>
      <c r="V18" s="31">
        <f t="shared" si="1"/>
        <v>-195276.92999999996</v>
      </c>
    </row>
    <row r="19" spans="2:22" x14ac:dyDescent="0.25">
      <c r="C19" s="9" t="s">
        <v>6</v>
      </c>
      <c r="D19" s="71"/>
      <c r="E19" s="72"/>
      <c r="F19" s="11"/>
      <c r="G19" s="7"/>
      <c r="H19" s="11"/>
      <c r="I19" s="7"/>
      <c r="J19" s="11"/>
      <c r="K19" s="7"/>
      <c r="L19" s="11"/>
      <c r="M19" s="7"/>
      <c r="N19" s="11"/>
      <c r="O19" s="7"/>
      <c r="P19" s="71"/>
      <c r="Q19" s="72"/>
      <c r="R19" s="71"/>
      <c r="S19" s="72"/>
      <c r="T19" s="71"/>
      <c r="U19" s="72"/>
      <c r="V19" s="30">
        <f>F18+H18+J18+L18+N18+P18+Q18+R18+S18+T18+U18</f>
        <v>-195276.93</v>
      </c>
    </row>
    <row r="20" spans="2:22" x14ac:dyDescent="0.25">
      <c r="C20" s="9" t="s">
        <v>44</v>
      </c>
      <c r="D20" s="71"/>
      <c r="E20" s="72"/>
      <c r="F20" s="13">
        <f>'1'!F20</f>
        <v>11.83</v>
      </c>
      <c r="G20" s="7"/>
      <c r="H20" s="11">
        <f>'1'!H20</f>
        <v>3.54</v>
      </c>
      <c r="I20" s="7"/>
      <c r="J20" s="13">
        <f>'1'!J20</f>
        <v>44.32</v>
      </c>
      <c r="K20" s="7"/>
      <c r="L20" s="11">
        <v>38.08</v>
      </c>
      <c r="M20" s="7"/>
      <c r="N20" s="11">
        <f>'1'!N20</f>
        <v>50</v>
      </c>
      <c r="O20" s="7"/>
      <c r="P20" s="71" t="str">
        <f>'1'!P20</f>
        <v xml:space="preserve">13,09 руб./м3 </v>
      </c>
      <c r="Q20" s="72"/>
      <c r="R20" s="71" t="str">
        <f>'1'!R20</f>
        <v>94,07 руб./м3</v>
      </c>
      <c r="S20" s="72"/>
      <c r="T20" s="71" t="str">
        <f>'1'!T20</f>
        <v>18,66 руб./м3</v>
      </c>
      <c r="U20" s="72"/>
      <c r="V20" s="11"/>
    </row>
    <row r="21" spans="2:22" x14ac:dyDescent="0.25">
      <c r="C21" s="9" t="s">
        <v>45</v>
      </c>
      <c r="D21" s="71"/>
      <c r="E21" s="72"/>
      <c r="F21" s="14">
        <f>N43+N49</f>
        <v>15.826653450000002</v>
      </c>
      <c r="G21" s="7"/>
      <c r="H21" s="11"/>
      <c r="I21" s="7"/>
      <c r="J21" s="11"/>
      <c r="K21" s="7"/>
      <c r="L21" s="11"/>
      <c r="M21" s="7"/>
      <c r="N21" s="11"/>
      <c r="O21" s="7"/>
      <c r="P21" s="71"/>
      <c r="Q21" s="72"/>
      <c r="R21" s="71"/>
      <c r="S21" s="72"/>
      <c r="T21" s="71"/>
      <c r="U21" s="72"/>
      <c r="V21" s="11"/>
    </row>
    <row r="23" spans="2:22" x14ac:dyDescent="0.25">
      <c r="C23" s="5" t="s">
        <v>11</v>
      </c>
    </row>
    <row r="24" spans="2:22" x14ac:dyDescent="0.25">
      <c r="C24" s="1" t="s">
        <v>12</v>
      </c>
      <c r="J24" s="34">
        <f>V19/V15*100</f>
        <v>-81.092938877478844</v>
      </c>
      <c r="K24" s="35" t="s">
        <v>37</v>
      </c>
    </row>
    <row r="27" spans="2:22" ht="33" customHeight="1" x14ac:dyDescent="0.25">
      <c r="B27" s="27" t="s">
        <v>13</v>
      </c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68" t="s">
        <v>46</v>
      </c>
      <c r="M27" s="68"/>
      <c r="N27" s="68" t="s">
        <v>47</v>
      </c>
      <c r="O27" s="68"/>
      <c r="P27" s="27" t="s">
        <v>28</v>
      </c>
    </row>
    <row r="28" spans="2:22" x14ac:dyDescent="0.25">
      <c r="B28" s="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"/>
    </row>
    <row r="29" spans="2:22" x14ac:dyDescent="0.25">
      <c r="B29" s="86" t="s">
        <v>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22" x14ac:dyDescent="0.25">
      <c r="B30" s="4">
        <v>1</v>
      </c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56">
        <v>721</v>
      </c>
      <c r="M30" s="56"/>
      <c r="N30" s="56">
        <f>'1'!N30:O30</f>
        <v>5.5</v>
      </c>
      <c r="O30" s="56"/>
      <c r="P30" s="17">
        <f>L30*N30*6</f>
        <v>23793</v>
      </c>
    </row>
    <row r="31" spans="2:22" x14ac:dyDescent="0.25">
      <c r="B31" s="4">
        <v>2</v>
      </c>
      <c r="C31" s="62" t="s">
        <v>34</v>
      </c>
      <c r="D31" s="62"/>
      <c r="E31" s="62"/>
      <c r="F31" s="62"/>
      <c r="G31" s="62"/>
      <c r="H31" s="62"/>
      <c r="I31" s="62"/>
      <c r="J31" s="62"/>
      <c r="K31" s="62"/>
      <c r="L31" s="56">
        <v>721</v>
      </c>
      <c r="M31" s="56"/>
      <c r="N31" s="56">
        <f>'1'!N31:O31</f>
        <v>1</v>
      </c>
      <c r="O31" s="56"/>
      <c r="P31" s="17">
        <f t="shared" ref="P31:P42" si="2">L31*N31*6</f>
        <v>4326</v>
      </c>
    </row>
    <row r="32" spans="2:22" x14ac:dyDescent="0.25">
      <c r="B32" s="4">
        <v>3</v>
      </c>
      <c r="C32" s="62" t="s">
        <v>16</v>
      </c>
      <c r="D32" s="62"/>
      <c r="E32" s="62"/>
      <c r="F32" s="62"/>
      <c r="G32" s="62"/>
      <c r="H32" s="62"/>
      <c r="I32" s="62"/>
      <c r="J32" s="62"/>
      <c r="K32" s="62"/>
      <c r="L32" s="56">
        <v>721</v>
      </c>
      <c r="M32" s="56"/>
      <c r="N32" s="56">
        <f>'1'!N32:O32</f>
        <v>0.4</v>
      </c>
      <c r="O32" s="56"/>
      <c r="P32" s="17">
        <f t="shared" si="2"/>
        <v>1730.4</v>
      </c>
    </row>
    <row r="33" spans="2:16" x14ac:dyDescent="0.25">
      <c r="B33" s="4">
        <v>4</v>
      </c>
      <c r="C33" s="62" t="s">
        <v>17</v>
      </c>
      <c r="D33" s="62"/>
      <c r="E33" s="62"/>
      <c r="F33" s="62"/>
      <c r="G33" s="62"/>
      <c r="H33" s="62"/>
      <c r="I33" s="62"/>
      <c r="J33" s="62"/>
      <c r="K33" s="62"/>
      <c r="L33" s="56">
        <v>721</v>
      </c>
      <c r="M33" s="56"/>
      <c r="N33" s="56">
        <f>'1'!N33:O33</f>
        <v>0.6</v>
      </c>
      <c r="O33" s="56"/>
      <c r="P33" s="17">
        <f t="shared" si="2"/>
        <v>2595.6</v>
      </c>
    </row>
    <row r="34" spans="2:16" x14ac:dyDescent="0.25">
      <c r="B34" s="4">
        <v>5</v>
      </c>
      <c r="C34" s="62" t="s">
        <v>18</v>
      </c>
      <c r="D34" s="62"/>
      <c r="E34" s="62"/>
      <c r="F34" s="62"/>
      <c r="G34" s="62"/>
      <c r="H34" s="62"/>
      <c r="I34" s="62"/>
      <c r="J34" s="62"/>
      <c r="K34" s="62"/>
      <c r="L34" s="56">
        <v>721</v>
      </c>
      <c r="M34" s="56"/>
      <c r="N34" s="56">
        <f>'1'!N34:O34</f>
        <v>1</v>
      </c>
      <c r="O34" s="56"/>
      <c r="P34" s="17">
        <f t="shared" si="2"/>
        <v>4326</v>
      </c>
    </row>
    <row r="35" spans="2:16" x14ac:dyDescent="0.25">
      <c r="B35" s="4">
        <v>6</v>
      </c>
      <c r="C35" s="62" t="s">
        <v>24</v>
      </c>
      <c r="D35" s="62"/>
      <c r="E35" s="62"/>
      <c r="F35" s="62"/>
      <c r="G35" s="62"/>
      <c r="H35" s="62"/>
      <c r="I35" s="62"/>
      <c r="J35" s="62"/>
      <c r="K35" s="62"/>
      <c r="L35" s="56">
        <v>721</v>
      </c>
      <c r="M35" s="56"/>
      <c r="N35" s="61">
        <f>'1'!N35:O35</f>
        <v>2.4</v>
      </c>
      <c r="O35" s="61"/>
      <c r="P35" s="17">
        <f t="shared" si="2"/>
        <v>10382.4</v>
      </c>
    </row>
    <row r="36" spans="2:16" x14ac:dyDescent="0.25">
      <c r="B36" s="4">
        <v>7</v>
      </c>
      <c r="C36" s="62" t="s">
        <v>19</v>
      </c>
      <c r="D36" s="62"/>
      <c r="E36" s="62"/>
      <c r="F36" s="62"/>
      <c r="G36" s="62"/>
      <c r="H36" s="62"/>
      <c r="I36" s="62"/>
      <c r="J36" s="62"/>
      <c r="K36" s="62"/>
      <c r="L36" s="56">
        <v>721</v>
      </c>
      <c r="M36" s="56"/>
      <c r="N36" s="56">
        <f>'1'!N36:O36</f>
        <v>1.4198999999999999</v>
      </c>
      <c r="O36" s="56"/>
      <c r="P36" s="17">
        <f t="shared" si="2"/>
        <v>6142.4874</v>
      </c>
    </row>
    <row r="37" spans="2:16" x14ac:dyDescent="0.25">
      <c r="B37" s="4">
        <v>8</v>
      </c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56">
        <v>721</v>
      </c>
      <c r="M37" s="56"/>
      <c r="N37" s="61">
        <f>'1'!N37:O37</f>
        <v>1.2367534499999999</v>
      </c>
      <c r="O37" s="61"/>
      <c r="P37" s="17">
        <f t="shared" si="2"/>
        <v>5350.1954246999994</v>
      </c>
    </row>
    <row r="38" spans="2:16" x14ac:dyDescent="0.25">
      <c r="B38" s="4">
        <v>9</v>
      </c>
      <c r="C38" s="62" t="s">
        <v>87</v>
      </c>
      <c r="D38" s="62"/>
      <c r="E38" s="62"/>
      <c r="F38" s="62"/>
      <c r="G38" s="62"/>
      <c r="H38" s="62"/>
      <c r="I38" s="62"/>
      <c r="J38" s="62"/>
      <c r="K38" s="62"/>
      <c r="L38" s="56">
        <v>721</v>
      </c>
      <c r="M38" s="56"/>
      <c r="N38" s="61">
        <f>'1'!N38:O38</f>
        <v>0.3</v>
      </c>
      <c r="O38" s="61"/>
      <c r="P38" s="17">
        <f t="shared" si="2"/>
        <v>1297.8</v>
      </c>
    </row>
    <row r="39" spans="2:16" x14ac:dyDescent="0.25">
      <c r="B39" s="4">
        <v>10</v>
      </c>
      <c r="C39" s="62" t="s">
        <v>21</v>
      </c>
      <c r="D39" s="62"/>
      <c r="E39" s="62"/>
      <c r="F39" s="62"/>
      <c r="G39" s="62"/>
      <c r="H39" s="62"/>
      <c r="I39" s="62"/>
      <c r="J39" s="62"/>
      <c r="K39" s="62"/>
      <c r="L39" s="56">
        <v>721</v>
      </c>
      <c r="M39" s="56"/>
      <c r="N39" s="56">
        <f>'1'!N39:O39</f>
        <v>0.92</v>
      </c>
      <c r="O39" s="56"/>
      <c r="P39" s="17">
        <f t="shared" si="2"/>
        <v>3979.92</v>
      </c>
    </row>
    <row r="40" spans="2:16" x14ac:dyDescent="0.25">
      <c r="B40" s="4">
        <v>11</v>
      </c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56">
        <v>721</v>
      </c>
      <c r="M40" s="56"/>
      <c r="N40" s="56">
        <f>'1'!N40:O40</f>
        <v>0.05</v>
      </c>
      <c r="O40" s="56"/>
      <c r="P40" s="17">
        <f t="shared" si="2"/>
        <v>216.3</v>
      </c>
    </row>
    <row r="41" spans="2:16" hidden="1" x14ac:dyDescent="0.25">
      <c r="B41" s="4">
        <v>12</v>
      </c>
      <c r="C41" s="62" t="s">
        <v>23</v>
      </c>
      <c r="D41" s="62"/>
      <c r="E41" s="62"/>
      <c r="F41" s="62"/>
      <c r="G41" s="62"/>
      <c r="H41" s="62"/>
      <c r="I41" s="62"/>
      <c r="J41" s="62"/>
      <c r="K41" s="62"/>
      <c r="L41" s="56">
        <v>721</v>
      </c>
      <c r="M41" s="56"/>
      <c r="N41" s="56">
        <f>'1'!N41:O41</f>
        <v>0</v>
      </c>
      <c r="O41" s="56"/>
      <c r="P41" s="17">
        <f t="shared" si="2"/>
        <v>0</v>
      </c>
    </row>
    <row r="42" spans="2:16" x14ac:dyDescent="0.25">
      <c r="B42" s="4">
        <v>12</v>
      </c>
      <c r="C42" s="62" t="s">
        <v>25</v>
      </c>
      <c r="D42" s="62"/>
      <c r="E42" s="62"/>
      <c r="F42" s="62"/>
      <c r="G42" s="62"/>
      <c r="H42" s="62"/>
      <c r="I42" s="62"/>
      <c r="J42" s="62"/>
      <c r="K42" s="62"/>
      <c r="L42" s="56">
        <v>721</v>
      </c>
      <c r="M42" s="56"/>
      <c r="N42" s="66">
        <f>'1'!N42:O405</f>
        <v>1</v>
      </c>
      <c r="O42" s="66"/>
      <c r="P42" s="17">
        <f t="shared" si="2"/>
        <v>4326</v>
      </c>
    </row>
    <row r="43" spans="2:16" x14ac:dyDescent="0.25">
      <c r="B43" s="38"/>
      <c r="C43" s="63" t="s">
        <v>26</v>
      </c>
      <c r="D43" s="63"/>
      <c r="E43" s="63"/>
      <c r="F43" s="63"/>
      <c r="G43" s="63"/>
      <c r="H43" s="63"/>
      <c r="I43" s="63"/>
      <c r="J43" s="63"/>
      <c r="K43" s="63"/>
      <c r="L43" s="55">
        <v>721</v>
      </c>
      <c r="M43" s="55"/>
      <c r="N43" s="87">
        <f>SUM(N30:O42)</f>
        <v>15.826653450000002</v>
      </c>
      <c r="O43" s="87"/>
      <c r="P43" s="39">
        <f>SUM(P30:P42)</f>
        <v>68466.102824700007</v>
      </c>
    </row>
    <row r="44" spans="2:16" hidden="1" x14ac:dyDescent="0.25">
      <c r="B44" s="86" t="s">
        <v>27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 hidden="1" x14ac:dyDescent="0.25">
      <c r="B45" s="4">
        <v>1</v>
      </c>
      <c r="C45" s="58" t="s">
        <v>73</v>
      </c>
      <c r="D45" s="59"/>
      <c r="E45" s="59"/>
      <c r="F45" s="59"/>
      <c r="G45" s="59"/>
      <c r="H45" s="59"/>
      <c r="I45" s="59"/>
      <c r="J45" s="59"/>
      <c r="K45" s="60"/>
      <c r="L45" s="56">
        <v>721</v>
      </c>
      <c r="M45" s="56"/>
      <c r="N45" s="61">
        <f>P45/L45/6</f>
        <v>0</v>
      </c>
      <c r="O45" s="61"/>
      <c r="P45" s="17"/>
    </row>
    <row r="46" spans="2:16" hidden="1" x14ac:dyDescent="0.25">
      <c r="B46" s="4">
        <v>1</v>
      </c>
      <c r="C46" s="58" t="s">
        <v>75</v>
      </c>
      <c r="D46" s="59"/>
      <c r="E46" s="59"/>
      <c r="F46" s="59"/>
      <c r="G46" s="59"/>
      <c r="H46" s="59"/>
      <c r="I46" s="59"/>
      <c r="J46" s="59"/>
      <c r="K46" s="60"/>
      <c r="L46" s="56">
        <v>721</v>
      </c>
      <c r="M46" s="56"/>
      <c r="N46" s="56"/>
      <c r="O46" s="56"/>
      <c r="P46" s="4">
        <f>L46*N46*6</f>
        <v>0</v>
      </c>
    </row>
    <row r="47" spans="2:16" hidden="1" x14ac:dyDescent="0.25">
      <c r="B47" s="4">
        <v>2</v>
      </c>
      <c r="C47" s="58" t="s">
        <v>76</v>
      </c>
      <c r="D47" s="59"/>
      <c r="E47" s="59"/>
      <c r="F47" s="59"/>
      <c r="G47" s="59"/>
      <c r="H47" s="59"/>
      <c r="I47" s="59"/>
      <c r="J47" s="59"/>
      <c r="K47" s="60"/>
      <c r="L47" s="56">
        <v>721</v>
      </c>
      <c r="M47" s="56"/>
      <c r="N47" s="56"/>
      <c r="O47" s="56"/>
      <c r="P47" s="4">
        <f>L47*N47*6</f>
        <v>0</v>
      </c>
    </row>
    <row r="48" spans="2:16" hidden="1" x14ac:dyDescent="0.25">
      <c r="B48" s="4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>
        <v>721</v>
      </c>
      <c r="M48" s="56"/>
      <c r="N48" s="56"/>
      <c r="O48" s="56"/>
      <c r="P48" s="4"/>
    </row>
    <row r="49" spans="2:16" hidden="1" x14ac:dyDescent="0.25">
      <c r="B49" s="38"/>
      <c r="C49" s="52" t="s">
        <v>29</v>
      </c>
      <c r="D49" s="53"/>
      <c r="E49" s="53"/>
      <c r="F49" s="53"/>
      <c r="G49" s="53"/>
      <c r="H49" s="53"/>
      <c r="I49" s="53"/>
      <c r="J49" s="53"/>
      <c r="K49" s="54"/>
      <c r="L49" s="55">
        <v>721</v>
      </c>
      <c r="M49" s="55"/>
      <c r="N49" s="87">
        <f>N45+N46+N47</f>
        <v>0</v>
      </c>
      <c r="O49" s="87"/>
      <c r="P49" s="38">
        <f>P45+P46+P47</f>
        <v>0</v>
      </c>
    </row>
    <row r="50" spans="2:16" hidden="1" x14ac:dyDescent="0.25">
      <c r="B50" s="86" t="s">
        <v>30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idden="1" x14ac:dyDescent="0.25">
      <c r="B51" s="38"/>
      <c r="C51" s="52" t="s">
        <v>31</v>
      </c>
      <c r="D51" s="53"/>
      <c r="E51" s="53"/>
      <c r="F51" s="53"/>
      <c r="G51" s="53"/>
      <c r="H51" s="53"/>
      <c r="I51" s="53"/>
      <c r="J51" s="53"/>
      <c r="K51" s="54"/>
      <c r="L51" s="55">
        <v>721</v>
      </c>
      <c r="M51" s="55"/>
      <c r="N51" s="55">
        <v>0</v>
      </c>
      <c r="O51" s="55"/>
      <c r="P51" s="38">
        <v>0</v>
      </c>
    </row>
    <row r="54" spans="2:16" x14ac:dyDescent="0.25">
      <c r="C54" s="1" t="s">
        <v>38</v>
      </c>
    </row>
    <row r="55" spans="2:16" x14ac:dyDescent="0.25">
      <c r="C55" s="1" t="s">
        <v>39</v>
      </c>
    </row>
    <row r="56" spans="2:16" x14ac:dyDescent="0.25">
      <c r="C56" s="4" t="s">
        <v>99</v>
      </c>
      <c r="D56" s="22">
        <f>N43</f>
        <v>15.826653450000002</v>
      </c>
    </row>
    <row r="59" spans="2:16" x14ac:dyDescent="0.25">
      <c r="C59" s="1" t="s">
        <v>40</v>
      </c>
      <c r="D59" s="2"/>
      <c r="E59" s="2"/>
      <c r="F59" s="2"/>
      <c r="G59" s="2"/>
      <c r="H59" s="1" t="s">
        <v>41</v>
      </c>
    </row>
    <row r="62" spans="2:16" ht="24.75" customHeight="1" x14ac:dyDescent="0.25">
      <c r="C62" s="1" t="s">
        <v>42</v>
      </c>
      <c r="D62" s="2"/>
      <c r="E62" s="2"/>
      <c r="F62" s="1" t="s">
        <v>43</v>
      </c>
    </row>
    <row r="63" spans="2:16" ht="25.5" customHeight="1" x14ac:dyDescent="0.25">
      <c r="D63" s="2"/>
      <c r="E63" s="2"/>
      <c r="F63" s="1" t="s">
        <v>43</v>
      </c>
    </row>
    <row r="64" spans="2:16" ht="24.75" customHeight="1" x14ac:dyDescent="0.25">
      <c r="D64" s="2"/>
      <c r="E64" s="2"/>
      <c r="F64" s="1" t="s">
        <v>43</v>
      </c>
    </row>
  </sheetData>
  <mergeCells count="112">
    <mergeCell ref="T18:U18"/>
    <mergeCell ref="T19:U19"/>
    <mergeCell ref="T20:U20"/>
    <mergeCell ref="T21:U21"/>
    <mergeCell ref="P18:Q18"/>
    <mergeCell ref="P19:Q19"/>
    <mergeCell ref="P20:Q20"/>
    <mergeCell ref="P21:Q21"/>
    <mergeCell ref="R12:S12"/>
    <mergeCell ref="R13:S13"/>
    <mergeCell ref="R14:S14"/>
    <mergeCell ref="R15:S15"/>
    <mergeCell ref="R16:S16"/>
    <mergeCell ref="R18:S18"/>
    <mergeCell ref="R19:S19"/>
    <mergeCell ref="R20:S20"/>
    <mergeCell ref="R21:S21"/>
    <mergeCell ref="P17:Q17"/>
    <mergeCell ref="R17:S17"/>
    <mergeCell ref="T17:U17"/>
    <mergeCell ref="B2:V2"/>
    <mergeCell ref="B3:V3"/>
    <mergeCell ref="B4:V4"/>
    <mergeCell ref="P12:Q12"/>
    <mergeCell ref="P13:Q13"/>
    <mergeCell ref="P14:Q14"/>
    <mergeCell ref="P15:Q15"/>
    <mergeCell ref="P16:Q16"/>
    <mergeCell ref="T13:U13"/>
    <mergeCell ref="T12:U12"/>
    <mergeCell ref="T14:U14"/>
    <mergeCell ref="T15:U15"/>
    <mergeCell ref="T16:U16"/>
    <mergeCell ref="C27:K27"/>
    <mergeCell ref="L27:M27"/>
    <mergeCell ref="N27:O27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8:K28"/>
    <mergeCell ref="L28:M28"/>
    <mergeCell ref="N28:O28"/>
    <mergeCell ref="B29:P29"/>
    <mergeCell ref="C30:K30"/>
    <mergeCell ref="L30:M30"/>
    <mergeCell ref="N30:O30"/>
    <mergeCell ref="C31:K31"/>
    <mergeCell ref="L31:M31"/>
    <mergeCell ref="N31:O31"/>
    <mergeCell ref="C32:K32"/>
    <mergeCell ref="L32:M32"/>
    <mergeCell ref="N32:O32"/>
    <mergeCell ref="C33:K33"/>
    <mergeCell ref="L33:M33"/>
    <mergeCell ref="N33:O33"/>
    <mergeCell ref="C34:K34"/>
    <mergeCell ref="L34:M34"/>
    <mergeCell ref="N34:O34"/>
    <mergeCell ref="C35:K35"/>
    <mergeCell ref="L35:M35"/>
    <mergeCell ref="N35:O35"/>
    <mergeCell ref="C36:K36"/>
    <mergeCell ref="L36:M36"/>
    <mergeCell ref="N36:O36"/>
    <mergeCell ref="C37:K37"/>
    <mergeCell ref="L37:M37"/>
    <mergeCell ref="N37:O37"/>
    <mergeCell ref="C38:K38"/>
    <mergeCell ref="L38:M38"/>
    <mergeCell ref="N38:O38"/>
    <mergeCell ref="C39:K39"/>
    <mergeCell ref="L39:M39"/>
    <mergeCell ref="N39:O39"/>
    <mergeCell ref="C40:K40"/>
    <mergeCell ref="L40:M40"/>
    <mergeCell ref="N40:O40"/>
    <mergeCell ref="C41:K41"/>
    <mergeCell ref="L41:M41"/>
    <mergeCell ref="N41:O41"/>
    <mergeCell ref="C42:K42"/>
    <mergeCell ref="L42:M42"/>
    <mergeCell ref="N42:O42"/>
    <mergeCell ref="C43:K43"/>
    <mergeCell ref="L43:M43"/>
    <mergeCell ref="N43:O43"/>
    <mergeCell ref="B44:P44"/>
    <mergeCell ref="C45:K45"/>
    <mergeCell ref="L45:M45"/>
    <mergeCell ref="N45:O45"/>
    <mergeCell ref="C46:K46"/>
    <mergeCell ref="L46:M46"/>
    <mergeCell ref="N46:O46"/>
    <mergeCell ref="C47:K47"/>
    <mergeCell ref="L47:M47"/>
    <mergeCell ref="N47:O47"/>
    <mergeCell ref="B50:P50"/>
    <mergeCell ref="C51:K51"/>
    <mergeCell ref="L51:M51"/>
    <mergeCell ref="N51:O51"/>
    <mergeCell ref="C48:K48"/>
    <mergeCell ref="L48:M48"/>
    <mergeCell ref="N48:O48"/>
    <mergeCell ref="C49:K49"/>
    <mergeCell ref="L49:M49"/>
    <mergeCell ref="N49:O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12</vt:lpstr>
      <vt:lpstr>13</vt:lpstr>
      <vt:lpstr>14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Все дома</vt:lpstr>
      <vt:lpstr>Лист1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*</cp:lastModifiedBy>
  <cp:lastPrinted>2015-07-16T09:06:54Z</cp:lastPrinted>
  <dcterms:created xsi:type="dcterms:W3CDTF">2013-10-28T08:46:54Z</dcterms:created>
  <dcterms:modified xsi:type="dcterms:W3CDTF">2015-07-16T09:43:03Z</dcterms:modified>
</cp:coreProperties>
</file>