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15" windowWidth="19320" windowHeight="8190" tabRatio="944"/>
  </bookViews>
  <sheets>
    <sheet name="1" sheetId="15" r:id="rId1"/>
    <sheet name="2" sheetId="14" r:id="rId2"/>
    <sheet name="3" sheetId="13" r:id="rId3"/>
    <sheet name="4" sheetId="12" r:id="rId4"/>
    <sheet name="5" sheetId="11" r:id="rId5"/>
    <sheet name="6" sheetId="10" r:id="rId6"/>
    <sheet name="12" sheetId="9" r:id="rId7"/>
    <sheet name="13" sheetId="8" r:id="rId8"/>
    <sheet name="14" sheetId="7" r:id="rId9"/>
    <sheet name="16" sheetId="6" r:id="rId10"/>
    <sheet name="17" sheetId="5" r:id="rId11"/>
    <sheet name="18" sheetId="4" r:id="rId12"/>
    <sheet name="19" sheetId="19" r:id="rId13"/>
    <sheet name="20" sheetId="18" r:id="rId14"/>
    <sheet name="21" sheetId="17" r:id="rId15"/>
    <sheet name="22" sheetId="16" r:id="rId16"/>
    <sheet name="23" sheetId="22" r:id="rId17"/>
    <sheet name="24" sheetId="21" r:id="rId18"/>
    <sheet name="25" sheetId="20" r:id="rId19"/>
    <sheet name="26" sheetId="23" r:id="rId20"/>
    <sheet name="27" sheetId="1" r:id="rId21"/>
    <sheet name="Все дома" sheetId="25" r:id="rId22"/>
    <sheet name="Лист1" sheetId="24" r:id="rId23"/>
    <sheet name="Лист3" sheetId="27" r:id="rId24"/>
  </sheets>
  <definedNames>
    <definedName name="_xlnm.Print_Area" localSheetId="8">'14'!$A$1:$V$65</definedName>
    <definedName name="_xlnm.Print_Area" localSheetId="3">'4'!$A$1:$V$65</definedName>
  </definedNames>
  <calcPr calcId="145621" refMode="R1C1"/>
</workbook>
</file>

<file path=xl/calcChain.xml><?xml version="1.0" encoding="utf-8"?>
<calcChain xmlns="http://schemas.openxmlformats.org/spreadsheetml/2006/main">
  <c r="L17" i="23" l="1"/>
  <c r="L17" i="13"/>
  <c r="L17" i="15"/>
  <c r="L17" i="14"/>
  <c r="L17" i="12"/>
  <c r="L17" i="11"/>
  <c r="L17" i="10"/>
  <c r="L17" i="9"/>
  <c r="L17" i="8"/>
  <c r="L17" i="7"/>
  <c r="L17" i="5"/>
  <c r="L17" i="6"/>
  <c r="L17" i="4"/>
  <c r="L17" i="19"/>
  <c r="L17" i="18"/>
  <c r="L17" i="17"/>
  <c r="L17" i="16"/>
  <c r="L17" i="22"/>
  <c r="L17" i="21"/>
  <c r="L17" i="20"/>
  <c r="L17" i="1"/>
  <c r="P17" i="1"/>
  <c r="P17" i="23"/>
  <c r="P17" i="20"/>
  <c r="P17" i="21"/>
  <c r="P17" i="22"/>
  <c r="P17" i="16"/>
  <c r="P17" i="17"/>
  <c r="P17" i="18"/>
  <c r="P17" i="19"/>
  <c r="P17" i="4"/>
  <c r="P17" i="5"/>
  <c r="P17" i="6"/>
  <c r="P17" i="7"/>
  <c r="P17" i="8"/>
  <c r="P17" i="9"/>
  <c r="P17" i="10"/>
  <c r="P17" i="11"/>
  <c r="P17" i="12"/>
  <c r="P17" i="13"/>
  <c r="P17" i="14"/>
  <c r="P17" i="15"/>
  <c r="J17" i="1"/>
  <c r="J17" i="23"/>
  <c r="J17" i="20"/>
  <c r="J17" i="21"/>
  <c r="J17" i="22"/>
  <c r="J17" i="16"/>
  <c r="J17" i="17"/>
  <c r="J17" i="18"/>
  <c r="J17" i="19"/>
  <c r="J17" i="4"/>
  <c r="J17" i="5"/>
  <c r="J17" i="6"/>
  <c r="J17" i="7"/>
  <c r="J17" i="8"/>
  <c r="J17" i="9"/>
  <c r="J17" i="10"/>
  <c r="J17" i="11"/>
  <c r="J17" i="12"/>
  <c r="J17" i="13"/>
  <c r="J17" i="14"/>
  <c r="J17" i="15"/>
  <c r="J25" i="9" l="1"/>
  <c r="F24" i="25" l="1"/>
  <c r="F23" i="25"/>
  <c r="P54" i="25"/>
  <c r="P46" i="25"/>
  <c r="F22" i="25"/>
  <c r="P50" i="25"/>
  <c r="P34" i="25"/>
  <c r="P38" i="25"/>
  <c r="P39" i="25"/>
  <c r="P40" i="25"/>
  <c r="P41" i="25"/>
  <c r="P42" i="25"/>
  <c r="P43" i="25"/>
  <c r="P34" i="1"/>
  <c r="P42" i="1"/>
  <c r="P34" i="23"/>
  <c r="P42" i="23"/>
  <c r="P34" i="20"/>
  <c r="P42" i="20"/>
  <c r="P34" i="21"/>
  <c r="P42" i="21"/>
  <c r="P34" i="22"/>
  <c r="P42" i="22"/>
  <c r="P34" i="16"/>
  <c r="P42" i="16"/>
  <c r="P34" i="17"/>
  <c r="P42" i="17"/>
  <c r="P34" i="18"/>
  <c r="P42" i="18"/>
  <c r="P34" i="19"/>
  <c r="P42" i="19"/>
  <c r="P34" i="4"/>
  <c r="P42" i="4"/>
  <c r="P34" i="5"/>
  <c r="P42" i="5"/>
  <c r="P34" i="6"/>
  <c r="P42" i="6"/>
  <c r="P34" i="7"/>
  <c r="P42" i="7"/>
  <c r="P34" i="8"/>
  <c r="P42" i="8"/>
  <c r="P34" i="9"/>
  <c r="P42" i="9"/>
  <c r="P34" i="10"/>
  <c r="P42" i="10"/>
  <c r="P34" i="11"/>
  <c r="P42" i="11"/>
  <c r="P34" i="13"/>
  <c r="P42" i="13"/>
  <c r="P34" i="14"/>
  <c r="P42" i="14"/>
  <c r="P31" i="14"/>
  <c r="P31" i="15"/>
  <c r="P33" i="15"/>
  <c r="P34" i="15"/>
  <c r="P35" i="15"/>
  <c r="P36" i="15"/>
  <c r="P37" i="15"/>
  <c r="P38" i="15"/>
  <c r="P39" i="15"/>
  <c r="P40" i="15"/>
  <c r="P41" i="15"/>
  <c r="P42" i="15"/>
  <c r="P43" i="15"/>
  <c r="P32" i="15"/>
  <c r="N44" i="15"/>
  <c r="F22" i="15" s="1"/>
  <c r="N31" i="14"/>
  <c r="P58" i="25" l="1"/>
  <c r="N46" i="16"/>
  <c r="N46" i="23"/>
  <c r="N46" i="15"/>
  <c r="T21" i="25"/>
  <c r="R21" i="25"/>
  <c r="P21" i="25"/>
  <c r="N21" i="25"/>
  <c r="J21" i="25"/>
  <c r="F21" i="25"/>
  <c r="C21" i="25"/>
  <c r="C20" i="25"/>
  <c r="T16" i="10"/>
  <c r="T15" i="10"/>
  <c r="R16" i="10"/>
  <c r="R15" i="10"/>
  <c r="P16" i="10"/>
  <c r="P15" i="10"/>
  <c r="T16" i="11"/>
  <c r="T15" i="11"/>
  <c r="R16" i="11"/>
  <c r="R15" i="11"/>
  <c r="P16" i="11"/>
  <c r="P15" i="11"/>
  <c r="T16" i="12"/>
  <c r="T15" i="12"/>
  <c r="R16" i="12"/>
  <c r="R15" i="12"/>
  <c r="P16" i="12"/>
  <c r="P15" i="12"/>
  <c r="F16" i="12"/>
  <c r="T16" i="13"/>
  <c r="T15" i="13"/>
  <c r="R16" i="13"/>
  <c r="R15" i="13"/>
  <c r="P16" i="13"/>
  <c r="P15" i="13"/>
  <c r="L16" i="13"/>
  <c r="L15" i="13"/>
  <c r="F16" i="13"/>
  <c r="T16" i="1"/>
  <c r="T15" i="1"/>
  <c r="R16" i="1"/>
  <c r="R15" i="1"/>
  <c r="P16" i="1"/>
  <c r="P15" i="1"/>
  <c r="L16" i="1"/>
  <c r="L15" i="1"/>
  <c r="T16" i="23"/>
  <c r="T15" i="23"/>
  <c r="R16" i="23"/>
  <c r="R15" i="23"/>
  <c r="P16" i="23"/>
  <c r="P15" i="23"/>
  <c r="L16" i="23"/>
  <c r="L15" i="23"/>
  <c r="F16" i="23"/>
  <c r="T16" i="20"/>
  <c r="T15" i="20"/>
  <c r="R16" i="20"/>
  <c r="R15" i="20"/>
  <c r="P16" i="20"/>
  <c r="P15" i="20"/>
  <c r="F16" i="20"/>
  <c r="T16" i="21"/>
  <c r="T15" i="21"/>
  <c r="R16" i="21"/>
  <c r="R15" i="21"/>
  <c r="P16" i="21"/>
  <c r="P15" i="21"/>
  <c r="T16" i="22"/>
  <c r="T15" i="22"/>
  <c r="R16" i="22"/>
  <c r="R15" i="22"/>
  <c r="P16" i="22" l="1"/>
  <c r="P15" i="22"/>
  <c r="F16" i="22"/>
  <c r="T16" i="16" l="1"/>
  <c r="T15" i="16"/>
  <c r="R16" i="16"/>
  <c r="R15" i="16"/>
  <c r="P16" i="16"/>
  <c r="P15" i="16"/>
  <c r="F16" i="17"/>
  <c r="F14" i="17"/>
  <c r="T16" i="17"/>
  <c r="T15" i="17"/>
  <c r="R16" i="17"/>
  <c r="R15" i="17"/>
  <c r="P16" i="17"/>
  <c r="P15" i="17"/>
  <c r="T16" i="18"/>
  <c r="T15" i="18"/>
  <c r="R16" i="18"/>
  <c r="R15" i="18"/>
  <c r="P16" i="18"/>
  <c r="P15" i="18"/>
  <c r="F16" i="18"/>
  <c r="F16" i="14"/>
  <c r="T16" i="14"/>
  <c r="T15" i="14"/>
  <c r="R16" i="14"/>
  <c r="R15" i="14"/>
  <c r="P16" i="14"/>
  <c r="P15" i="14"/>
  <c r="L16" i="14"/>
  <c r="L15" i="14"/>
  <c r="T16" i="19"/>
  <c r="T15" i="19"/>
  <c r="R16" i="19"/>
  <c r="R15" i="19"/>
  <c r="P16" i="19"/>
  <c r="P15" i="19"/>
  <c r="T16" i="4"/>
  <c r="T15" i="4"/>
  <c r="R16" i="4"/>
  <c r="R15" i="4"/>
  <c r="P16" i="4"/>
  <c r="P15" i="4"/>
  <c r="F18" i="4"/>
  <c r="V14" i="5" l="1"/>
  <c r="V18" i="5" s="1"/>
  <c r="V19" i="5"/>
  <c r="T14" i="5"/>
  <c r="T16" i="5"/>
  <c r="T15" i="5"/>
  <c r="R16" i="5"/>
  <c r="R15" i="5"/>
  <c r="P16" i="5"/>
  <c r="P15" i="5"/>
  <c r="T16" i="6"/>
  <c r="T15" i="6"/>
  <c r="R16" i="6"/>
  <c r="R15" i="6"/>
  <c r="P16" i="6"/>
  <c r="P15" i="6"/>
  <c r="T16" i="7"/>
  <c r="T15" i="7"/>
  <c r="R16" i="7"/>
  <c r="R15" i="7"/>
  <c r="P16" i="7"/>
  <c r="P15" i="7"/>
  <c r="F16" i="7"/>
  <c r="T16" i="8"/>
  <c r="T15" i="8"/>
  <c r="R16" i="8"/>
  <c r="R15" i="8"/>
  <c r="P16" i="8"/>
  <c r="P15" i="8"/>
  <c r="F16" i="8"/>
  <c r="F16" i="9"/>
  <c r="T16" i="9"/>
  <c r="T15" i="9"/>
  <c r="R16" i="9"/>
  <c r="R15" i="9"/>
  <c r="P16" i="9"/>
  <c r="P15" i="9"/>
  <c r="F16" i="15"/>
  <c r="T16" i="15"/>
  <c r="T15" i="15"/>
  <c r="R16" i="15"/>
  <c r="R15" i="15"/>
  <c r="P16" i="15"/>
  <c r="P15" i="15"/>
  <c r="L16" i="15"/>
  <c r="L15" i="15"/>
  <c r="F18" i="1" l="1"/>
  <c r="F18" i="21"/>
  <c r="F18" i="11"/>
  <c r="T17" i="1"/>
  <c r="R17" i="1"/>
  <c r="T21" i="1"/>
  <c r="R21" i="1"/>
  <c r="P21" i="1"/>
  <c r="N21" i="1"/>
  <c r="J21" i="1"/>
  <c r="F21" i="1"/>
  <c r="C21" i="1"/>
  <c r="C20" i="1"/>
  <c r="T17" i="23"/>
  <c r="R17" i="23"/>
  <c r="N17" i="23"/>
  <c r="T21" i="23"/>
  <c r="R21" i="23"/>
  <c r="P21" i="23"/>
  <c r="N21" i="23"/>
  <c r="L21" i="23"/>
  <c r="J21" i="23"/>
  <c r="F21" i="23"/>
  <c r="C21" i="23"/>
  <c r="C20" i="23"/>
  <c r="T17" i="20"/>
  <c r="R17" i="20"/>
  <c r="T21" i="20" l="1"/>
  <c r="R21" i="20"/>
  <c r="P21" i="20"/>
  <c r="N21" i="20"/>
  <c r="L21" i="20"/>
  <c r="J21" i="20"/>
  <c r="F21" i="20"/>
  <c r="C21" i="20"/>
  <c r="C20" i="20"/>
  <c r="T17" i="21"/>
  <c r="R17" i="21"/>
  <c r="T21" i="21"/>
  <c r="R21" i="21"/>
  <c r="P21" i="21"/>
  <c r="N21" i="21"/>
  <c r="L21" i="21"/>
  <c r="J21" i="21"/>
  <c r="F21" i="21"/>
  <c r="C21" i="21"/>
  <c r="C20" i="21"/>
  <c r="T17" i="22"/>
  <c r="R17" i="22"/>
  <c r="T21" i="22"/>
  <c r="R21" i="22"/>
  <c r="P21" i="22"/>
  <c r="N21" i="22"/>
  <c r="L21" i="22"/>
  <c r="J21" i="22"/>
  <c r="F21" i="22"/>
  <c r="C21" i="22"/>
  <c r="C20" i="22"/>
  <c r="T17" i="16"/>
  <c r="R17" i="16"/>
  <c r="T21" i="16"/>
  <c r="R21" i="16"/>
  <c r="P21" i="16"/>
  <c r="N21" i="16"/>
  <c r="L21" i="16"/>
  <c r="J21" i="16"/>
  <c r="F21" i="16"/>
  <c r="C21" i="16"/>
  <c r="C20" i="16"/>
  <c r="T21" i="17"/>
  <c r="R21" i="17"/>
  <c r="P21" i="17"/>
  <c r="N21" i="17"/>
  <c r="L21" i="17" l="1"/>
  <c r="J21" i="17"/>
  <c r="F21" i="17"/>
  <c r="C21" i="17"/>
  <c r="C20" i="17"/>
  <c r="T17" i="17"/>
  <c r="R17" i="17"/>
  <c r="T17" i="18"/>
  <c r="R17" i="18"/>
  <c r="T21" i="18"/>
  <c r="R21" i="18"/>
  <c r="P21" i="18"/>
  <c r="N21" i="18"/>
  <c r="L21" i="18"/>
  <c r="J21" i="18"/>
  <c r="F21" i="18"/>
  <c r="C21" i="18"/>
  <c r="C20" i="18"/>
  <c r="T21" i="19" l="1"/>
  <c r="R21" i="19"/>
  <c r="P21" i="19"/>
  <c r="N21" i="19"/>
  <c r="L21" i="19"/>
  <c r="J21" i="19"/>
  <c r="F21" i="19"/>
  <c r="C21" i="19"/>
  <c r="C20" i="19"/>
  <c r="T17" i="19"/>
  <c r="R17" i="19"/>
  <c r="T21" i="4"/>
  <c r="R21" i="4"/>
  <c r="P21" i="4"/>
  <c r="N21" i="4"/>
  <c r="L21" i="4"/>
  <c r="J21" i="4"/>
  <c r="F21" i="4"/>
  <c r="C21" i="4"/>
  <c r="C20" i="4"/>
  <c r="T17" i="4"/>
  <c r="R17" i="4"/>
  <c r="T21" i="5"/>
  <c r="R21" i="5"/>
  <c r="P21" i="5"/>
  <c r="N21" i="5"/>
  <c r="J21" i="5"/>
  <c r="F21" i="5"/>
  <c r="C21" i="5"/>
  <c r="C20" i="5"/>
  <c r="T17" i="5"/>
  <c r="R17" i="5"/>
  <c r="T17" i="6"/>
  <c r="R17" i="6"/>
  <c r="T21" i="6"/>
  <c r="R21" i="6"/>
  <c r="P21" i="6"/>
  <c r="N21" i="6"/>
  <c r="L21" i="6"/>
  <c r="J21" i="6"/>
  <c r="F21" i="6"/>
  <c r="C21" i="6"/>
  <c r="C20" i="6"/>
  <c r="T21" i="7"/>
  <c r="R21" i="7"/>
  <c r="P21" i="7"/>
  <c r="N21" i="7"/>
  <c r="L21" i="7"/>
  <c r="J21" i="7"/>
  <c r="F21" i="7"/>
  <c r="T17" i="7"/>
  <c r="R17" i="7"/>
  <c r="C21" i="7"/>
  <c r="C20" i="7"/>
  <c r="N43" i="7"/>
  <c r="P43" i="7" s="1"/>
  <c r="T21" i="8"/>
  <c r="R21" i="8"/>
  <c r="P21" i="8"/>
  <c r="N21" i="8"/>
  <c r="L21" i="8"/>
  <c r="J21" i="8"/>
  <c r="F21" i="8"/>
  <c r="C21" i="8"/>
  <c r="C20" i="8"/>
  <c r="T17" i="8"/>
  <c r="R17" i="8"/>
  <c r="T17" i="9"/>
  <c r="R17" i="9"/>
  <c r="T21" i="9"/>
  <c r="R21" i="9"/>
  <c r="P21" i="9"/>
  <c r="N21" i="9"/>
  <c r="J21" i="9"/>
  <c r="F21" i="9"/>
  <c r="C21" i="9"/>
  <c r="C20" i="9"/>
  <c r="T21" i="10"/>
  <c r="R21" i="10"/>
  <c r="P21" i="10"/>
  <c r="N21" i="10"/>
  <c r="L21" i="10"/>
  <c r="J21" i="10"/>
  <c r="F21" i="10"/>
  <c r="C21" i="10"/>
  <c r="C20" i="10"/>
  <c r="T17" i="10"/>
  <c r="R17" i="10"/>
  <c r="T17" i="11"/>
  <c r="R17" i="11"/>
  <c r="T21" i="11"/>
  <c r="R21" i="11"/>
  <c r="P21" i="11"/>
  <c r="N21" i="11"/>
  <c r="L21" i="11"/>
  <c r="J21" i="11"/>
  <c r="F21" i="11"/>
  <c r="C21" i="11"/>
  <c r="C20" i="11"/>
  <c r="T17" i="12" l="1"/>
  <c r="R17" i="12"/>
  <c r="T21" i="12"/>
  <c r="R21" i="12"/>
  <c r="P21" i="12"/>
  <c r="N21" i="12"/>
  <c r="J21" i="12"/>
  <c r="F21" i="12"/>
  <c r="C21" i="12"/>
  <c r="C20" i="12" l="1"/>
  <c r="T17" i="13"/>
  <c r="R17" i="13"/>
  <c r="N17" i="13"/>
  <c r="T21" i="13"/>
  <c r="R21" i="13"/>
  <c r="P21" i="13"/>
  <c r="N21" i="13"/>
  <c r="L21" i="13"/>
  <c r="J21" i="13"/>
  <c r="F21" i="13"/>
  <c r="C21" i="13"/>
  <c r="C20" i="13"/>
  <c r="T17" i="14"/>
  <c r="R17" i="14"/>
  <c r="T21" i="14"/>
  <c r="R21" i="14"/>
  <c r="P21" i="14"/>
  <c r="N21" i="14"/>
  <c r="L21" i="14"/>
  <c r="J21" i="14"/>
  <c r="C21" i="14"/>
  <c r="F21" i="14"/>
  <c r="C20" i="14"/>
  <c r="T17" i="15"/>
  <c r="R17" i="15"/>
  <c r="F18" i="14" l="1"/>
  <c r="L18" i="7" l="1"/>
  <c r="H16" i="25"/>
  <c r="R17" i="25" l="1"/>
  <c r="N17" i="1"/>
  <c r="N17" i="20"/>
  <c r="N17" i="21"/>
  <c r="N17" i="22"/>
  <c r="N17" i="16"/>
  <c r="N17" i="17"/>
  <c r="N17" i="18"/>
  <c r="N17" i="19"/>
  <c r="N17" i="4"/>
  <c r="N17" i="5"/>
  <c r="N17" i="6"/>
  <c r="N17" i="8"/>
  <c r="N17" i="9"/>
  <c r="N17" i="11"/>
  <c r="N17" i="14"/>
  <c r="N17" i="25" l="1"/>
  <c r="P17" i="25"/>
  <c r="C15" i="10" l="1"/>
  <c r="P47" i="8"/>
  <c r="P48" i="8"/>
  <c r="V14" i="10" l="1"/>
  <c r="V13" i="10" s="1"/>
  <c r="C14" i="25"/>
  <c r="C14" i="1"/>
  <c r="C14" i="23"/>
  <c r="C14" i="20"/>
  <c r="C14" i="21"/>
  <c r="C14" i="22"/>
  <c r="C14" i="16"/>
  <c r="C14" i="17"/>
  <c r="C14" i="18"/>
  <c r="C14" i="19"/>
  <c r="C14" i="4"/>
  <c r="C14" i="5"/>
  <c r="C14" i="6"/>
  <c r="C14" i="7"/>
  <c r="C14" i="8"/>
  <c r="C14" i="9"/>
  <c r="C14" i="10"/>
  <c r="C14" i="11"/>
  <c r="C14" i="12"/>
  <c r="C14" i="13"/>
  <c r="C14" i="14"/>
  <c r="D9" i="25" l="1"/>
  <c r="D17" i="27" l="1"/>
  <c r="D21" i="27" s="1"/>
  <c r="G20" i="27"/>
  <c r="G16" i="27"/>
  <c r="G15" i="27"/>
  <c r="G14" i="27"/>
  <c r="F17" i="27"/>
  <c r="D18" i="27"/>
  <c r="F18" i="27"/>
  <c r="D12" i="27"/>
  <c r="G18" i="27" l="1"/>
  <c r="G17" i="27"/>
  <c r="G21" i="27" s="1"/>
  <c r="N41" i="25"/>
  <c r="N50" i="6"/>
  <c r="P47" i="6"/>
  <c r="T18" i="1" l="1"/>
  <c r="P18" i="21"/>
  <c r="P18" i="5"/>
  <c r="N18" i="5"/>
  <c r="R14" i="25"/>
  <c r="C18" i="25"/>
  <c r="C18" i="1"/>
  <c r="C18" i="23"/>
  <c r="C18" i="20"/>
  <c r="C18" i="21"/>
  <c r="C18" i="22"/>
  <c r="C18" i="16"/>
  <c r="C18" i="17"/>
  <c r="C18" i="18"/>
  <c r="C18" i="19"/>
  <c r="C18" i="4"/>
  <c r="C18" i="5"/>
  <c r="C18" i="6"/>
  <c r="C18" i="7"/>
  <c r="C18" i="8"/>
  <c r="C18" i="9"/>
  <c r="C18" i="10"/>
  <c r="C18" i="11"/>
  <c r="C18" i="12"/>
  <c r="C18" i="13"/>
  <c r="C18" i="14"/>
  <c r="T17" i="25" l="1"/>
  <c r="J18" i="15"/>
  <c r="T14" i="25"/>
  <c r="P14" i="25"/>
  <c r="N14" i="25"/>
  <c r="L14" i="25"/>
  <c r="J14" i="25"/>
  <c r="H14" i="25"/>
  <c r="F14" i="25"/>
  <c r="R18" i="1"/>
  <c r="P18" i="1"/>
  <c r="N18" i="1"/>
  <c r="L18" i="1"/>
  <c r="J18" i="1"/>
  <c r="H18" i="1"/>
  <c r="V14" i="1"/>
  <c r="T18" i="23"/>
  <c r="R18" i="23"/>
  <c r="P18" i="23"/>
  <c r="N18" i="23"/>
  <c r="L18" i="23"/>
  <c r="J18" i="23"/>
  <c r="H18" i="23"/>
  <c r="F18" i="23"/>
  <c r="V14" i="23"/>
  <c r="V13" i="23" s="1"/>
  <c r="T18" i="20"/>
  <c r="R18" i="20"/>
  <c r="P18" i="20"/>
  <c r="N18" i="20"/>
  <c r="L18" i="20"/>
  <c r="J18" i="20"/>
  <c r="H18" i="20"/>
  <c r="F18" i="20"/>
  <c r="V14" i="20"/>
  <c r="V13" i="20" s="1"/>
  <c r="T18" i="21"/>
  <c r="R18" i="21"/>
  <c r="N18" i="21"/>
  <c r="L18" i="21"/>
  <c r="J18" i="21"/>
  <c r="H18" i="21"/>
  <c r="V14" i="21"/>
  <c r="V13" i="21" s="1"/>
  <c r="T18" i="22"/>
  <c r="R18" i="22"/>
  <c r="P18" i="22"/>
  <c r="N18" i="22"/>
  <c r="L18" i="22"/>
  <c r="J18" i="22"/>
  <c r="H18" i="22"/>
  <c r="F18" i="22"/>
  <c r="V14" i="22"/>
  <c r="V13" i="22" s="1"/>
  <c r="T18" i="16"/>
  <c r="R18" i="16"/>
  <c r="P18" i="16"/>
  <c r="N18" i="16"/>
  <c r="L18" i="16"/>
  <c r="J18" i="16"/>
  <c r="H18" i="16"/>
  <c r="F18" i="16"/>
  <c r="V14" i="16"/>
  <c r="V13" i="16" s="1"/>
  <c r="T18" i="17"/>
  <c r="R18" i="17"/>
  <c r="P18" i="17"/>
  <c r="N18" i="17"/>
  <c r="L18" i="17"/>
  <c r="J18" i="17"/>
  <c r="H18" i="17"/>
  <c r="F18" i="17"/>
  <c r="V14" i="17"/>
  <c r="V13" i="17" s="1"/>
  <c r="T18" i="18"/>
  <c r="R18" i="18"/>
  <c r="P18" i="18"/>
  <c r="N18" i="18"/>
  <c r="L18" i="18"/>
  <c r="J18" i="18"/>
  <c r="H18" i="18"/>
  <c r="F18" i="18"/>
  <c r="V14" i="18"/>
  <c r="V13" i="18" s="1"/>
  <c r="T18" i="19"/>
  <c r="R18" i="19"/>
  <c r="P18" i="19"/>
  <c r="N18" i="19"/>
  <c r="L18" i="19"/>
  <c r="J18" i="19"/>
  <c r="H18" i="19"/>
  <c r="F18" i="19"/>
  <c r="V14" i="19"/>
  <c r="V13" i="19" s="1"/>
  <c r="T18" i="4"/>
  <c r="R18" i="4"/>
  <c r="P18" i="4"/>
  <c r="N18" i="4"/>
  <c r="L18" i="4"/>
  <c r="J18" i="4"/>
  <c r="H18" i="4"/>
  <c r="V14" i="4"/>
  <c r="V13" i="4" s="1"/>
  <c r="T18" i="5"/>
  <c r="R18" i="5"/>
  <c r="L18" i="5"/>
  <c r="J18" i="5"/>
  <c r="H18" i="5"/>
  <c r="F18" i="5"/>
  <c r="V13" i="5"/>
  <c r="T18" i="6"/>
  <c r="R18" i="6"/>
  <c r="P18" i="6"/>
  <c r="N18" i="6"/>
  <c r="L18" i="6"/>
  <c r="J18" i="6"/>
  <c r="H18" i="6"/>
  <c r="F18" i="6"/>
  <c r="V14" i="6"/>
  <c r="V13" i="6" s="1"/>
  <c r="T18" i="7"/>
  <c r="R18" i="7"/>
  <c r="P18" i="7"/>
  <c r="N18" i="7"/>
  <c r="J18" i="7"/>
  <c r="H18" i="7"/>
  <c r="F18" i="7"/>
  <c r="V14" i="7"/>
  <c r="V13" i="7" s="1"/>
  <c r="T18" i="8"/>
  <c r="R18" i="8"/>
  <c r="P18" i="8"/>
  <c r="N18" i="8"/>
  <c r="L18" i="8"/>
  <c r="J18" i="8"/>
  <c r="H18" i="8"/>
  <c r="F18" i="8"/>
  <c r="V14" i="8"/>
  <c r="V13" i="8" s="1"/>
  <c r="T18" i="9"/>
  <c r="R18" i="9"/>
  <c r="P18" i="9"/>
  <c r="N18" i="9"/>
  <c r="L18" i="9"/>
  <c r="J18" i="9"/>
  <c r="H18" i="9"/>
  <c r="F18" i="9"/>
  <c r="V14" i="9"/>
  <c r="V13" i="9" s="1"/>
  <c r="T18" i="10"/>
  <c r="R18" i="10"/>
  <c r="P18" i="10"/>
  <c r="N18" i="10"/>
  <c r="L18" i="10"/>
  <c r="J18" i="10"/>
  <c r="H18" i="10"/>
  <c r="F18" i="10"/>
  <c r="T18" i="11"/>
  <c r="R18" i="11"/>
  <c r="P18" i="11"/>
  <c r="N18" i="11"/>
  <c r="L18" i="11"/>
  <c r="J18" i="11"/>
  <c r="H18" i="11"/>
  <c r="V14" i="11"/>
  <c r="V13" i="11" s="1"/>
  <c r="V14" i="12"/>
  <c r="V13" i="12" s="1"/>
  <c r="T18" i="12"/>
  <c r="R18" i="12"/>
  <c r="P18" i="12"/>
  <c r="N18" i="12"/>
  <c r="L18" i="12"/>
  <c r="J18" i="12"/>
  <c r="H18" i="12"/>
  <c r="F18" i="12"/>
  <c r="F18" i="13"/>
  <c r="T18" i="13"/>
  <c r="R18" i="13"/>
  <c r="P18" i="13"/>
  <c r="N18" i="13"/>
  <c r="L18" i="13"/>
  <c r="J18" i="13"/>
  <c r="H18" i="13"/>
  <c r="V14" i="13"/>
  <c r="V13" i="13" s="1"/>
  <c r="V14" i="14"/>
  <c r="V13" i="14" s="1"/>
  <c r="T18" i="14"/>
  <c r="R18" i="14"/>
  <c r="P18" i="14"/>
  <c r="N18" i="14"/>
  <c r="L18" i="14"/>
  <c r="J18" i="14"/>
  <c r="H18" i="14"/>
  <c r="V14" i="15"/>
  <c r="V13" i="15" s="1"/>
  <c r="T18" i="15"/>
  <c r="R18" i="15"/>
  <c r="P18" i="15"/>
  <c r="N18" i="15"/>
  <c r="L18" i="15"/>
  <c r="H18" i="15"/>
  <c r="F18" i="15"/>
  <c r="V19" i="1" l="1"/>
  <c r="V13" i="1"/>
  <c r="V19" i="9"/>
  <c r="V19" i="8"/>
  <c r="V19" i="10"/>
  <c r="V14" i="25"/>
  <c r="V13" i="25" s="1"/>
  <c r="V19" i="23"/>
  <c r="V19" i="20"/>
  <c r="V19" i="21"/>
  <c r="V19" i="22"/>
  <c r="V19" i="16"/>
  <c r="V19" i="17"/>
  <c r="V19" i="18"/>
  <c r="V19" i="19"/>
  <c r="V19" i="4"/>
  <c r="V19" i="6"/>
  <c r="V19" i="7"/>
  <c r="V19" i="11"/>
  <c r="V19" i="12"/>
  <c r="V19" i="13"/>
  <c r="V19" i="14"/>
  <c r="V19" i="15"/>
  <c r="V15" i="18" l="1"/>
  <c r="J25" i="18" s="1"/>
  <c r="V16" i="8"/>
  <c r="V15" i="8" l="1"/>
  <c r="V18" i="8" s="1"/>
  <c r="B3" i="25"/>
  <c r="B3" i="1"/>
  <c r="B3" i="23"/>
  <c r="B3" i="20"/>
  <c r="B3" i="21"/>
  <c r="B3" i="22"/>
  <c r="B3" i="16"/>
  <c r="B3" i="17"/>
  <c r="B3" i="18"/>
  <c r="B3" i="19"/>
  <c r="B3" i="4"/>
  <c r="B3" i="5"/>
  <c r="B3" i="6"/>
  <c r="B3" i="7"/>
  <c r="B3" i="8"/>
  <c r="B3" i="9"/>
  <c r="B3" i="10"/>
  <c r="B3" i="11"/>
  <c r="B3" i="12"/>
  <c r="B3" i="13"/>
  <c r="B3" i="14"/>
  <c r="N42" i="14"/>
  <c r="J17" i="25"/>
  <c r="T16" i="25"/>
  <c r="T15" i="25"/>
  <c r="R16" i="25"/>
  <c r="R15" i="25"/>
  <c r="P16" i="25"/>
  <c r="P15" i="25"/>
  <c r="N16" i="25"/>
  <c r="N15" i="25"/>
  <c r="L16" i="25"/>
  <c r="L15" i="25"/>
  <c r="J16" i="25"/>
  <c r="J15" i="25"/>
  <c r="H15" i="25"/>
  <c r="F16" i="25"/>
  <c r="F15" i="25"/>
  <c r="D10" i="25"/>
  <c r="D8" i="25"/>
  <c r="N43" i="25"/>
  <c r="N42" i="25"/>
  <c r="N40" i="25"/>
  <c r="N39" i="25"/>
  <c r="N38" i="25"/>
  <c r="N37" i="25"/>
  <c r="P37" i="25" s="1"/>
  <c r="N36" i="25"/>
  <c r="P36" i="25" s="1"/>
  <c r="N35" i="25"/>
  <c r="P35" i="25" s="1"/>
  <c r="N34" i="25"/>
  <c r="N33" i="25"/>
  <c r="P33" i="25" s="1"/>
  <c r="N32" i="25"/>
  <c r="P32" i="25" s="1"/>
  <c r="N31" i="25"/>
  <c r="P31" i="25" s="1"/>
  <c r="T20" i="25"/>
  <c r="R20" i="25"/>
  <c r="P20" i="25"/>
  <c r="N20" i="25"/>
  <c r="J20" i="25"/>
  <c r="H20" i="25"/>
  <c r="F20" i="25"/>
  <c r="T12" i="25"/>
  <c r="R12" i="25"/>
  <c r="P12" i="25"/>
  <c r="N12" i="25"/>
  <c r="J12" i="25"/>
  <c r="D12" i="25"/>
  <c r="H17" i="1"/>
  <c r="H17" i="23"/>
  <c r="H17" i="20"/>
  <c r="H17" i="21"/>
  <c r="H17" i="16"/>
  <c r="H17" i="17"/>
  <c r="H17" i="18"/>
  <c r="H17" i="19"/>
  <c r="H17" i="4"/>
  <c r="H17" i="5"/>
  <c r="H17" i="6"/>
  <c r="H17" i="7"/>
  <c r="H17" i="8"/>
  <c r="H17" i="9"/>
  <c r="H17" i="10"/>
  <c r="H17" i="11"/>
  <c r="H17" i="12"/>
  <c r="H17" i="13"/>
  <c r="H17" i="14"/>
  <c r="P48" i="1"/>
  <c r="P47" i="1"/>
  <c r="P50" i="1" s="1"/>
  <c r="N50" i="23"/>
  <c r="P47" i="23"/>
  <c r="N50" i="20"/>
  <c r="P47" i="20"/>
  <c r="P46" i="20"/>
  <c r="N50" i="21"/>
  <c r="P47" i="21"/>
  <c r="P50" i="21" s="1"/>
  <c r="P46" i="21"/>
  <c r="N50" i="22"/>
  <c r="P47" i="22"/>
  <c r="P46" i="22"/>
  <c r="N50" i="16"/>
  <c r="P47" i="16"/>
  <c r="P47" i="17"/>
  <c r="P46" i="17"/>
  <c r="P50" i="17"/>
  <c r="N50" i="17"/>
  <c r="N50" i="18"/>
  <c r="P47" i="18"/>
  <c r="P46" i="18"/>
  <c r="N50" i="19"/>
  <c r="P47" i="19"/>
  <c r="P46" i="19"/>
  <c r="N50" i="4"/>
  <c r="P47" i="4"/>
  <c r="P46" i="4"/>
  <c r="N50" i="5"/>
  <c r="P47" i="5"/>
  <c r="P46" i="5"/>
  <c r="P46" i="6"/>
  <c r="P48" i="7"/>
  <c r="P47" i="7"/>
  <c r="P50" i="7" s="1"/>
  <c r="P50" i="8"/>
  <c r="N50" i="9"/>
  <c r="P47" i="9"/>
  <c r="P49" i="9"/>
  <c r="P46" i="9"/>
  <c r="N50" i="10"/>
  <c r="P47" i="10"/>
  <c r="P48" i="10"/>
  <c r="P49" i="10"/>
  <c r="P46" i="10"/>
  <c r="N50" i="11"/>
  <c r="P47" i="11"/>
  <c r="P48" i="11"/>
  <c r="P49" i="11"/>
  <c r="P46" i="11"/>
  <c r="P47" i="12"/>
  <c r="P48" i="12"/>
  <c r="P46" i="12"/>
  <c r="P50" i="12" s="1"/>
  <c r="N50" i="12"/>
  <c r="P47" i="13"/>
  <c r="P46" i="13"/>
  <c r="P50" i="13" s="1"/>
  <c r="N50" i="13"/>
  <c r="P47" i="14"/>
  <c r="P46" i="14"/>
  <c r="P50" i="14" s="1"/>
  <c r="N50" i="14"/>
  <c r="P48" i="15"/>
  <c r="P47" i="15"/>
  <c r="P50" i="15" s="1"/>
  <c r="N46" i="1"/>
  <c r="N50" i="1" s="1"/>
  <c r="N46" i="7"/>
  <c r="N50" i="7" s="1"/>
  <c r="N46" i="8"/>
  <c r="N50" i="8" s="1"/>
  <c r="N50" i="15"/>
  <c r="N43" i="6"/>
  <c r="P43" i="6" s="1"/>
  <c r="N42" i="6"/>
  <c r="N41" i="6"/>
  <c r="P41" i="6" s="1"/>
  <c r="N40" i="6"/>
  <c r="P40" i="6" s="1"/>
  <c r="N39" i="6"/>
  <c r="P39" i="6" s="1"/>
  <c r="N38" i="6"/>
  <c r="P38" i="6" s="1"/>
  <c r="N37" i="6"/>
  <c r="P37" i="6" s="1"/>
  <c r="N36" i="6"/>
  <c r="P36" i="6" s="1"/>
  <c r="N35" i="6"/>
  <c r="P35" i="6" s="1"/>
  <c r="N34" i="6"/>
  <c r="N33" i="6"/>
  <c r="P33" i="6" s="1"/>
  <c r="N32" i="6"/>
  <c r="P32" i="6" s="1"/>
  <c r="N31" i="6"/>
  <c r="P31" i="6" s="1"/>
  <c r="N43" i="1"/>
  <c r="P43" i="1" s="1"/>
  <c r="N42" i="1"/>
  <c r="N41" i="1"/>
  <c r="P41" i="1" s="1"/>
  <c r="N40" i="1"/>
  <c r="P40" i="1" s="1"/>
  <c r="N39" i="1"/>
  <c r="P39" i="1" s="1"/>
  <c r="N38" i="1"/>
  <c r="P38" i="1" s="1"/>
  <c r="N37" i="1"/>
  <c r="P37" i="1" s="1"/>
  <c r="N36" i="1"/>
  <c r="P36" i="1" s="1"/>
  <c r="N35" i="1"/>
  <c r="P35" i="1" s="1"/>
  <c r="N34" i="1"/>
  <c r="N33" i="1"/>
  <c r="P33" i="1" s="1"/>
  <c r="N32" i="1"/>
  <c r="P32" i="1" s="1"/>
  <c r="N31" i="1"/>
  <c r="P31" i="1" s="1"/>
  <c r="N43" i="23"/>
  <c r="P43" i="23" s="1"/>
  <c r="N42" i="23"/>
  <c r="N41" i="23"/>
  <c r="P41" i="23" s="1"/>
  <c r="N40" i="23"/>
  <c r="P40" i="23" s="1"/>
  <c r="N39" i="23"/>
  <c r="P39" i="23" s="1"/>
  <c r="N38" i="23"/>
  <c r="P38" i="23" s="1"/>
  <c r="N37" i="23"/>
  <c r="P37" i="23" s="1"/>
  <c r="N36" i="23"/>
  <c r="P36" i="23" s="1"/>
  <c r="N35" i="23"/>
  <c r="P35" i="23" s="1"/>
  <c r="N34" i="23"/>
  <c r="N33" i="23"/>
  <c r="P33" i="23" s="1"/>
  <c r="N32" i="23"/>
  <c r="P32" i="23" s="1"/>
  <c r="N31" i="23"/>
  <c r="P31" i="23" s="1"/>
  <c r="N43" i="20"/>
  <c r="P43" i="20" s="1"/>
  <c r="N42" i="20"/>
  <c r="N41" i="20"/>
  <c r="P41" i="20" s="1"/>
  <c r="N40" i="20"/>
  <c r="P40" i="20" s="1"/>
  <c r="N39" i="20"/>
  <c r="P39" i="20" s="1"/>
  <c r="N38" i="20"/>
  <c r="P38" i="20" s="1"/>
  <c r="N37" i="20"/>
  <c r="P37" i="20" s="1"/>
  <c r="N36" i="20"/>
  <c r="P36" i="20" s="1"/>
  <c r="N35" i="20"/>
  <c r="P35" i="20" s="1"/>
  <c r="N34" i="20"/>
  <c r="N33" i="20"/>
  <c r="P33" i="20" s="1"/>
  <c r="N32" i="20"/>
  <c r="P32" i="20" s="1"/>
  <c r="N31" i="20"/>
  <c r="P31" i="20" s="1"/>
  <c r="N43" i="21"/>
  <c r="P43" i="21" s="1"/>
  <c r="N42" i="21"/>
  <c r="N41" i="21"/>
  <c r="P41" i="21" s="1"/>
  <c r="N40" i="21"/>
  <c r="P40" i="21" s="1"/>
  <c r="N39" i="21"/>
  <c r="P39" i="21" s="1"/>
  <c r="N38" i="21"/>
  <c r="P38" i="21" s="1"/>
  <c r="N37" i="21"/>
  <c r="P37" i="21" s="1"/>
  <c r="N36" i="21"/>
  <c r="P36" i="21" s="1"/>
  <c r="N35" i="21"/>
  <c r="P35" i="21" s="1"/>
  <c r="N34" i="21"/>
  <c r="N33" i="21"/>
  <c r="P33" i="21" s="1"/>
  <c r="N32" i="21"/>
  <c r="P32" i="21" s="1"/>
  <c r="N31" i="21"/>
  <c r="P31" i="21" s="1"/>
  <c r="N43" i="22"/>
  <c r="P43" i="22" s="1"/>
  <c r="N42" i="22"/>
  <c r="N41" i="22"/>
  <c r="P41" i="22" s="1"/>
  <c r="N40" i="22"/>
  <c r="P40" i="22" s="1"/>
  <c r="N39" i="22"/>
  <c r="P39" i="22" s="1"/>
  <c r="N38" i="22"/>
  <c r="P38" i="22" s="1"/>
  <c r="N37" i="22"/>
  <c r="P37" i="22" s="1"/>
  <c r="N36" i="22"/>
  <c r="P36" i="22" s="1"/>
  <c r="N35" i="22"/>
  <c r="P35" i="22" s="1"/>
  <c r="N34" i="22"/>
  <c r="N33" i="22"/>
  <c r="P33" i="22" s="1"/>
  <c r="N32" i="22"/>
  <c r="P32" i="22" s="1"/>
  <c r="N31" i="22"/>
  <c r="P31" i="22" s="1"/>
  <c r="N43" i="16"/>
  <c r="P43" i="16" s="1"/>
  <c r="N42" i="16"/>
  <c r="N41" i="16"/>
  <c r="P41" i="16" s="1"/>
  <c r="N40" i="16"/>
  <c r="P40" i="16" s="1"/>
  <c r="N39" i="16"/>
  <c r="P39" i="16" s="1"/>
  <c r="N38" i="16"/>
  <c r="P38" i="16" s="1"/>
  <c r="N37" i="16"/>
  <c r="P37" i="16" s="1"/>
  <c r="N36" i="16"/>
  <c r="P36" i="16" s="1"/>
  <c r="N35" i="16"/>
  <c r="P35" i="16" s="1"/>
  <c r="N34" i="16"/>
  <c r="N33" i="16"/>
  <c r="P33" i="16" s="1"/>
  <c r="N32" i="16"/>
  <c r="P32" i="16" s="1"/>
  <c r="N31" i="16"/>
  <c r="P31" i="16" s="1"/>
  <c r="N43" i="17"/>
  <c r="P43" i="17" s="1"/>
  <c r="N42" i="17"/>
  <c r="N41" i="17"/>
  <c r="P41" i="17" s="1"/>
  <c r="N40" i="17"/>
  <c r="P40" i="17" s="1"/>
  <c r="N39" i="17"/>
  <c r="P39" i="17" s="1"/>
  <c r="N38" i="17"/>
  <c r="P38" i="17" s="1"/>
  <c r="N37" i="17"/>
  <c r="P37" i="17" s="1"/>
  <c r="N36" i="17"/>
  <c r="P36" i="17" s="1"/>
  <c r="N35" i="17"/>
  <c r="P35" i="17" s="1"/>
  <c r="N34" i="17"/>
  <c r="N33" i="17"/>
  <c r="P33" i="17" s="1"/>
  <c r="N32" i="17"/>
  <c r="P32" i="17" s="1"/>
  <c r="N31" i="17"/>
  <c r="P31" i="17" s="1"/>
  <c r="N43" i="18"/>
  <c r="P43" i="18" s="1"/>
  <c r="N42" i="18"/>
  <c r="N41" i="18"/>
  <c r="P41" i="18" s="1"/>
  <c r="N40" i="18"/>
  <c r="P40" i="18" s="1"/>
  <c r="N39" i="18"/>
  <c r="P39" i="18" s="1"/>
  <c r="N38" i="18"/>
  <c r="P38" i="18" s="1"/>
  <c r="N37" i="18"/>
  <c r="P37" i="18" s="1"/>
  <c r="N36" i="18"/>
  <c r="P36" i="18" s="1"/>
  <c r="N35" i="18"/>
  <c r="P35" i="18" s="1"/>
  <c r="N34" i="18"/>
  <c r="N33" i="18"/>
  <c r="P33" i="18" s="1"/>
  <c r="N32" i="18"/>
  <c r="P32" i="18" s="1"/>
  <c r="N31" i="18"/>
  <c r="P31" i="18" s="1"/>
  <c r="N43" i="19"/>
  <c r="P43" i="19" s="1"/>
  <c r="N42" i="19"/>
  <c r="N41" i="19"/>
  <c r="P41" i="19" s="1"/>
  <c r="N40" i="19"/>
  <c r="P40" i="19" s="1"/>
  <c r="N39" i="19"/>
  <c r="P39" i="19" s="1"/>
  <c r="N38" i="19"/>
  <c r="P38" i="19" s="1"/>
  <c r="N37" i="19"/>
  <c r="P37" i="19" s="1"/>
  <c r="N36" i="19"/>
  <c r="P36" i="19" s="1"/>
  <c r="N35" i="19"/>
  <c r="P35" i="19" s="1"/>
  <c r="N34" i="19"/>
  <c r="N33" i="19"/>
  <c r="P33" i="19" s="1"/>
  <c r="N32" i="19"/>
  <c r="P32" i="19" s="1"/>
  <c r="N31" i="19"/>
  <c r="P31" i="19" s="1"/>
  <c r="N43" i="4"/>
  <c r="P43" i="4" s="1"/>
  <c r="N42" i="4"/>
  <c r="N41" i="4"/>
  <c r="P41" i="4" s="1"/>
  <c r="N40" i="4"/>
  <c r="P40" i="4" s="1"/>
  <c r="N39" i="4"/>
  <c r="P39" i="4" s="1"/>
  <c r="N38" i="4"/>
  <c r="P38" i="4" s="1"/>
  <c r="N37" i="4"/>
  <c r="P37" i="4" s="1"/>
  <c r="N36" i="4"/>
  <c r="P36" i="4" s="1"/>
  <c r="N35" i="4"/>
  <c r="P35" i="4" s="1"/>
  <c r="N34" i="4"/>
  <c r="N33" i="4"/>
  <c r="P33" i="4" s="1"/>
  <c r="N32" i="4"/>
  <c r="P32" i="4" s="1"/>
  <c r="N31" i="4"/>
  <c r="P31" i="4" s="1"/>
  <c r="N43" i="5"/>
  <c r="P43" i="5" s="1"/>
  <c r="N42" i="5"/>
  <c r="N41" i="5"/>
  <c r="P41" i="5" s="1"/>
  <c r="N40" i="5"/>
  <c r="P40" i="5" s="1"/>
  <c r="N39" i="5"/>
  <c r="P39" i="5" s="1"/>
  <c r="N38" i="5"/>
  <c r="P38" i="5" s="1"/>
  <c r="N37" i="5"/>
  <c r="P37" i="5" s="1"/>
  <c r="N36" i="5"/>
  <c r="P36" i="5" s="1"/>
  <c r="N35" i="5"/>
  <c r="P35" i="5" s="1"/>
  <c r="N34" i="5"/>
  <c r="N33" i="5"/>
  <c r="P33" i="5" s="1"/>
  <c r="N32" i="5"/>
  <c r="P32" i="5" s="1"/>
  <c r="N31" i="5"/>
  <c r="P31" i="5" s="1"/>
  <c r="N42" i="7"/>
  <c r="N41" i="7"/>
  <c r="P41" i="7" s="1"/>
  <c r="N40" i="7"/>
  <c r="P40" i="7" s="1"/>
  <c r="N39" i="7"/>
  <c r="P39" i="7" s="1"/>
  <c r="N38" i="7"/>
  <c r="P38" i="7" s="1"/>
  <c r="N37" i="7"/>
  <c r="P37" i="7" s="1"/>
  <c r="N36" i="7"/>
  <c r="P36" i="7" s="1"/>
  <c r="N35" i="7"/>
  <c r="P35" i="7" s="1"/>
  <c r="N34" i="7"/>
  <c r="N33" i="7"/>
  <c r="P33" i="7" s="1"/>
  <c r="N32" i="7"/>
  <c r="P32" i="7" s="1"/>
  <c r="N31" i="7"/>
  <c r="P31" i="7" s="1"/>
  <c r="N43" i="8"/>
  <c r="P43" i="8" s="1"/>
  <c r="N42" i="8"/>
  <c r="N41" i="8"/>
  <c r="P41" i="8" s="1"/>
  <c r="N40" i="8"/>
  <c r="P40" i="8" s="1"/>
  <c r="N39" i="8"/>
  <c r="P39" i="8" s="1"/>
  <c r="N38" i="8"/>
  <c r="P38" i="8" s="1"/>
  <c r="N37" i="8"/>
  <c r="P37" i="8" s="1"/>
  <c r="N36" i="8"/>
  <c r="P36" i="8" s="1"/>
  <c r="N35" i="8"/>
  <c r="P35" i="8" s="1"/>
  <c r="N34" i="8"/>
  <c r="N33" i="8"/>
  <c r="P33" i="8" s="1"/>
  <c r="N32" i="8"/>
  <c r="P32" i="8" s="1"/>
  <c r="N31" i="8"/>
  <c r="P31" i="8" s="1"/>
  <c r="N43" i="9"/>
  <c r="P43" i="9" s="1"/>
  <c r="N42" i="9"/>
  <c r="N41" i="9"/>
  <c r="P41" i="9" s="1"/>
  <c r="N40" i="9"/>
  <c r="P40" i="9" s="1"/>
  <c r="N39" i="9"/>
  <c r="P39" i="9" s="1"/>
  <c r="N38" i="9"/>
  <c r="P38" i="9" s="1"/>
  <c r="N37" i="9"/>
  <c r="P37" i="9" s="1"/>
  <c r="N36" i="9"/>
  <c r="P36" i="9" s="1"/>
  <c r="N35" i="9"/>
  <c r="P35" i="9" s="1"/>
  <c r="N34" i="9"/>
  <c r="N33" i="9"/>
  <c r="P33" i="9" s="1"/>
  <c r="N32" i="9"/>
  <c r="P32" i="9" s="1"/>
  <c r="N31" i="9"/>
  <c r="P31" i="9" s="1"/>
  <c r="N43" i="10"/>
  <c r="P43" i="10" s="1"/>
  <c r="N42" i="10"/>
  <c r="N41" i="10"/>
  <c r="P41" i="10" s="1"/>
  <c r="N40" i="10"/>
  <c r="P40" i="10" s="1"/>
  <c r="N39" i="10"/>
  <c r="P39" i="10" s="1"/>
  <c r="N38" i="10"/>
  <c r="P38" i="10" s="1"/>
  <c r="N37" i="10"/>
  <c r="P37" i="10" s="1"/>
  <c r="N36" i="10"/>
  <c r="P36" i="10" s="1"/>
  <c r="N35" i="10"/>
  <c r="P35" i="10" s="1"/>
  <c r="N34" i="10"/>
  <c r="N33" i="10"/>
  <c r="P33" i="10" s="1"/>
  <c r="N32" i="10"/>
  <c r="P32" i="10" s="1"/>
  <c r="N31" i="10"/>
  <c r="P31" i="10" s="1"/>
  <c r="N43" i="11"/>
  <c r="P43" i="11" s="1"/>
  <c r="N42" i="11"/>
  <c r="N41" i="11"/>
  <c r="P41" i="11" s="1"/>
  <c r="N40" i="11"/>
  <c r="P40" i="11" s="1"/>
  <c r="N39" i="11"/>
  <c r="P39" i="11" s="1"/>
  <c r="N38" i="11"/>
  <c r="P38" i="11" s="1"/>
  <c r="N37" i="11"/>
  <c r="P37" i="11" s="1"/>
  <c r="N36" i="11"/>
  <c r="P36" i="11" s="1"/>
  <c r="N35" i="11"/>
  <c r="P35" i="11" s="1"/>
  <c r="N34" i="11"/>
  <c r="N33" i="11"/>
  <c r="P33" i="11" s="1"/>
  <c r="N32" i="11"/>
  <c r="P32" i="11" s="1"/>
  <c r="N31" i="11"/>
  <c r="P31" i="11" s="1"/>
  <c r="N43" i="12"/>
  <c r="P43" i="12" s="1"/>
  <c r="N42" i="12"/>
  <c r="N41" i="12"/>
  <c r="P41" i="12" s="1"/>
  <c r="N40" i="12"/>
  <c r="P40" i="12" s="1"/>
  <c r="N39" i="12"/>
  <c r="N38" i="12"/>
  <c r="N37" i="12"/>
  <c r="N36" i="12"/>
  <c r="N35" i="12"/>
  <c r="N34" i="12"/>
  <c r="N33" i="12"/>
  <c r="N32" i="12"/>
  <c r="N31" i="12"/>
  <c r="N43" i="13"/>
  <c r="P43" i="13" s="1"/>
  <c r="N42" i="13"/>
  <c r="N41" i="13"/>
  <c r="P41" i="13" s="1"/>
  <c r="N40" i="13"/>
  <c r="P40" i="13" s="1"/>
  <c r="N39" i="13"/>
  <c r="P39" i="13" s="1"/>
  <c r="N38" i="13"/>
  <c r="P38" i="13" s="1"/>
  <c r="N37" i="13"/>
  <c r="P37" i="13" s="1"/>
  <c r="N36" i="13"/>
  <c r="P36" i="13" s="1"/>
  <c r="N35" i="13"/>
  <c r="P35" i="13" s="1"/>
  <c r="N34" i="13"/>
  <c r="N33" i="13"/>
  <c r="P33" i="13" s="1"/>
  <c r="N32" i="13"/>
  <c r="P32" i="13" s="1"/>
  <c r="N31" i="13"/>
  <c r="P31" i="13" s="1"/>
  <c r="N43" i="14"/>
  <c r="P43" i="14" s="1"/>
  <c r="N41" i="14"/>
  <c r="P41" i="14" s="1"/>
  <c r="N40" i="14"/>
  <c r="P40" i="14" s="1"/>
  <c r="N39" i="14"/>
  <c r="P39" i="14" s="1"/>
  <c r="N38" i="14"/>
  <c r="P38" i="14" s="1"/>
  <c r="N37" i="14"/>
  <c r="P37" i="14" s="1"/>
  <c r="N36" i="14"/>
  <c r="P36" i="14" s="1"/>
  <c r="N35" i="14"/>
  <c r="P35" i="14" s="1"/>
  <c r="N34" i="14"/>
  <c r="N33" i="14"/>
  <c r="P33" i="14" s="1"/>
  <c r="N32" i="14"/>
  <c r="P32" i="14" s="1"/>
  <c r="P53" i="22"/>
  <c r="P52" i="25" s="1"/>
  <c r="P32" i="12"/>
  <c r="P33" i="12"/>
  <c r="P34" i="12"/>
  <c r="P35" i="12"/>
  <c r="P36" i="12"/>
  <c r="P37" i="12"/>
  <c r="P38" i="12"/>
  <c r="P39" i="12"/>
  <c r="P42" i="12"/>
  <c r="P31" i="12"/>
  <c r="T12" i="1"/>
  <c r="R12" i="1"/>
  <c r="P12" i="1"/>
  <c r="N12" i="1"/>
  <c r="J12" i="1"/>
  <c r="D12" i="1"/>
  <c r="T12" i="23"/>
  <c r="R12" i="23"/>
  <c r="P12" i="23"/>
  <c r="N12" i="23"/>
  <c r="J12" i="23"/>
  <c r="D12" i="23"/>
  <c r="T12" i="20"/>
  <c r="R12" i="20"/>
  <c r="P12" i="20"/>
  <c r="N12" i="20"/>
  <c r="J12" i="20"/>
  <c r="D12" i="20"/>
  <c r="T12" i="21"/>
  <c r="R12" i="21"/>
  <c r="P12" i="21"/>
  <c r="N12" i="21"/>
  <c r="J12" i="21"/>
  <c r="D12" i="21"/>
  <c r="T12" i="22"/>
  <c r="R12" i="22"/>
  <c r="P12" i="22"/>
  <c r="N12" i="22"/>
  <c r="J12" i="22"/>
  <c r="D12" i="22"/>
  <c r="T12" i="16"/>
  <c r="R12" i="16"/>
  <c r="P12" i="16"/>
  <c r="N12" i="16"/>
  <c r="J12" i="16"/>
  <c r="D12" i="16"/>
  <c r="T12" i="17"/>
  <c r="R12" i="17"/>
  <c r="P12" i="17"/>
  <c r="N12" i="17"/>
  <c r="J12" i="17"/>
  <c r="D12" i="17"/>
  <c r="T12" i="18"/>
  <c r="R12" i="18"/>
  <c r="P12" i="18"/>
  <c r="N12" i="18"/>
  <c r="J12" i="18"/>
  <c r="D12" i="18"/>
  <c r="T12" i="19"/>
  <c r="R12" i="19"/>
  <c r="P12" i="19"/>
  <c r="N12" i="19"/>
  <c r="J12" i="19"/>
  <c r="D12" i="19"/>
  <c r="T12" i="4"/>
  <c r="R12" i="4"/>
  <c r="P12" i="4"/>
  <c r="N12" i="4"/>
  <c r="J12" i="4"/>
  <c r="D12" i="4"/>
  <c r="T12" i="5"/>
  <c r="R12" i="5"/>
  <c r="P12" i="5"/>
  <c r="N12" i="5"/>
  <c r="J12" i="5"/>
  <c r="D12" i="5"/>
  <c r="T12" i="6"/>
  <c r="R12" i="6"/>
  <c r="P12" i="6"/>
  <c r="N12" i="6"/>
  <c r="J12" i="6"/>
  <c r="D12" i="6"/>
  <c r="T12" i="7"/>
  <c r="R12" i="7"/>
  <c r="P12" i="7"/>
  <c r="N12" i="7"/>
  <c r="J12" i="7"/>
  <c r="D12" i="7"/>
  <c r="T12" i="8"/>
  <c r="R12" i="8"/>
  <c r="P12" i="8"/>
  <c r="N12" i="8"/>
  <c r="J12" i="8"/>
  <c r="D12" i="8"/>
  <c r="T12" i="9"/>
  <c r="R12" i="9"/>
  <c r="P12" i="9"/>
  <c r="N12" i="9"/>
  <c r="J12" i="9"/>
  <c r="D12" i="9"/>
  <c r="D12" i="10"/>
  <c r="T12" i="10"/>
  <c r="R12" i="10"/>
  <c r="P12" i="10"/>
  <c r="N12" i="10"/>
  <c r="J12" i="10"/>
  <c r="T12" i="11"/>
  <c r="R12" i="11"/>
  <c r="P12" i="11"/>
  <c r="N12" i="11"/>
  <c r="J12" i="11"/>
  <c r="D12" i="11"/>
  <c r="T12" i="12"/>
  <c r="R12" i="12"/>
  <c r="P12" i="12"/>
  <c r="N12" i="12"/>
  <c r="J12" i="12"/>
  <c r="D12" i="12"/>
  <c r="T12" i="13"/>
  <c r="R12" i="13"/>
  <c r="P12" i="13"/>
  <c r="N12" i="13"/>
  <c r="J12" i="13"/>
  <c r="D12" i="13"/>
  <c r="D12" i="14"/>
  <c r="T12" i="14"/>
  <c r="R12" i="14"/>
  <c r="P12" i="14"/>
  <c r="N12" i="14"/>
  <c r="J12" i="14"/>
  <c r="N20" i="1"/>
  <c r="N20" i="23"/>
  <c r="N20" i="20"/>
  <c r="N20" i="21"/>
  <c r="N20" i="22"/>
  <c r="N20" i="16"/>
  <c r="N20" i="17"/>
  <c r="N20" i="18"/>
  <c r="N20" i="19"/>
  <c r="N20" i="4"/>
  <c r="N20" i="5"/>
  <c r="N20" i="6"/>
  <c r="N20" i="7"/>
  <c r="N20" i="8"/>
  <c r="N20" i="9"/>
  <c r="N20" i="10"/>
  <c r="N20" i="11"/>
  <c r="N20" i="12"/>
  <c r="N20" i="13"/>
  <c r="N20" i="14"/>
  <c r="T20" i="1"/>
  <c r="T20" i="23"/>
  <c r="T20" i="20"/>
  <c r="T20" i="21"/>
  <c r="T20" i="22"/>
  <c r="T20" i="16"/>
  <c r="T20" i="17"/>
  <c r="T20" i="18"/>
  <c r="T20" i="19"/>
  <c r="T20" i="4"/>
  <c r="T20" i="5"/>
  <c r="T20" i="6"/>
  <c r="T20" i="7"/>
  <c r="T20" i="8"/>
  <c r="T20" i="9"/>
  <c r="T20" i="10"/>
  <c r="T20" i="11"/>
  <c r="T20" i="12"/>
  <c r="T20" i="13"/>
  <c r="T20" i="14"/>
  <c r="R20" i="1"/>
  <c r="R20" i="23"/>
  <c r="R20" i="20"/>
  <c r="R20" i="21"/>
  <c r="R20" i="22"/>
  <c r="R20" i="16"/>
  <c r="R20" i="17"/>
  <c r="R20" i="18"/>
  <c r="R20" i="19"/>
  <c r="R20" i="4"/>
  <c r="R20" i="5"/>
  <c r="R20" i="6"/>
  <c r="R20" i="7"/>
  <c r="R20" i="8"/>
  <c r="R20" i="9"/>
  <c r="R20" i="10"/>
  <c r="R20" i="11"/>
  <c r="R20" i="12"/>
  <c r="R20" i="13"/>
  <c r="R20" i="14"/>
  <c r="P20" i="1"/>
  <c r="P20" i="23"/>
  <c r="P20" i="20"/>
  <c r="P20" i="21"/>
  <c r="P20" i="22"/>
  <c r="P20" i="16"/>
  <c r="P20" i="17"/>
  <c r="P20" i="18"/>
  <c r="P20" i="19"/>
  <c r="P20" i="4"/>
  <c r="P20" i="5"/>
  <c r="P20" i="6"/>
  <c r="P20" i="7"/>
  <c r="P20" i="8"/>
  <c r="P20" i="9"/>
  <c r="P20" i="10"/>
  <c r="P20" i="11"/>
  <c r="P20" i="12"/>
  <c r="P20" i="13"/>
  <c r="P20" i="14"/>
  <c r="J20" i="1"/>
  <c r="J20" i="23"/>
  <c r="J20" i="20"/>
  <c r="J20" i="21"/>
  <c r="J20" i="22"/>
  <c r="J20" i="16"/>
  <c r="J20" i="17"/>
  <c r="J20" i="18"/>
  <c r="J20" i="19"/>
  <c r="J20" i="4"/>
  <c r="J20" i="5"/>
  <c r="J20" i="6"/>
  <c r="J20" i="7"/>
  <c r="J20" i="8"/>
  <c r="J20" i="9"/>
  <c r="J20" i="10"/>
  <c r="J20" i="11"/>
  <c r="J20" i="12"/>
  <c r="J20" i="13"/>
  <c r="J20" i="14"/>
  <c r="H20" i="1"/>
  <c r="H20" i="23"/>
  <c r="H20" i="20"/>
  <c r="H20" i="21"/>
  <c r="H20" i="22"/>
  <c r="H20" i="16"/>
  <c r="H20" i="17"/>
  <c r="H20" i="18"/>
  <c r="H20" i="19"/>
  <c r="H20" i="4"/>
  <c r="H20" i="6"/>
  <c r="H20" i="7"/>
  <c r="H20" i="8"/>
  <c r="H20" i="9"/>
  <c r="H20" i="10"/>
  <c r="H20" i="11"/>
  <c r="H20" i="12"/>
  <c r="H20" i="13"/>
  <c r="H20" i="14"/>
  <c r="F20" i="1"/>
  <c r="F20" i="23"/>
  <c r="F20" i="20"/>
  <c r="F20" i="21"/>
  <c r="F20" i="22"/>
  <c r="F20" i="16"/>
  <c r="F20" i="17"/>
  <c r="F20" i="18"/>
  <c r="F20" i="19"/>
  <c r="F20" i="4"/>
  <c r="F20" i="5"/>
  <c r="F20" i="6"/>
  <c r="F20" i="7"/>
  <c r="F20" i="8"/>
  <c r="F20" i="9"/>
  <c r="F20" i="10"/>
  <c r="F20" i="11"/>
  <c r="F20" i="12"/>
  <c r="F20" i="13"/>
  <c r="F20" i="14"/>
  <c r="L31" i="15"/>
  <c r="V16" i="1"/>
  <c r="V15" i="1"/>
  <c r="V16" i="23"/>
  <c r="V15" i="23"/>
  <c r="J25" i="23" s="1"/>
  <c r="V16" i="20"/>
  <c r="V15" i="20"/>
  <c r="J25" i="20" s="1"/>
  <c r="V16" i="21"/>
  <c r="V15" i="21"/>
  <c r="J25" i="21" s="1"/>
  <c r="V16" i="22"/>
  <c r="V15" i="22"/>
  <c r="J25" i="22" s="1"/>
  <c r="V16" i="16"/>
  <c r="V15" i="16"/>
  <c r="J25" i="16" s="1"/>
  <c r="V16" i="17"/>
  <c r="V15" i="17"/>
  <c r="J25" i="17" s="1"/>
  <c r="V16" i="18"/>
  <c r="V18" i="18" s="1"/>
  <c r="V16" i="19"/>
  <c r="V15" i="19"/>
  <c r="J25" i="19" s="1"/>
  <c r="V16" i="4"/>
  <c r="V15" i="4"/>
  <c r="J25" i="4" s="1"/>
  <c r="V16" i="5"/>
  <c r="V15" i="5"/>
  <c r="J25" i="5" s="1"/>
  <c r="V16" i="6"/>
  <c r="V15" i="6"/>
  <c r="J25" i="6" s="1"/>
  <c r="V16" i="7"/>
  <c r="V15" i="7"/>
  <c r="J25" i="7" s="1"/>
  <c r="J25" i="8"/>
  <c r="V16" i="9"/>
  <c r="V15" i="9"/>
  <c r="V16" i="10"/>
  <c r="V15" i="10"/>
  <c r="J25" i="10" s="1"/>
  <c r="V16" i="11"/>
  <c r="V15" i="11"/>
  <c r="J25" i="11" s="1"/>
  <c r="V16" i="12"/>
  <c r="V15" i="12"/>
  <c r="J25" i="12" s="1"/>
  <c r="V16" i="13"/>
  <c r="V15" i="13"/>
  <c r="J25" i="13" s="1"/>
  <c r="V16" i="14"/>
  <c r="V15" i="14"/>
  <c r="J25" i="14" s="1"/>
  <c r="V16" i="15"/>
  <c r="V15" i="15"/>
  <c r="J25" i="15" s="1"/>
  <c r="N44" i="10" l="1"/>
  <c r="F22" i="10" s="1"/>
  <c r="P44" i="25"/>
  <c r="N44" i="12"/>
  <c r="F22" i="12" s="1"/>
  <c r="D57" i="15"/>
  <c r="V18" i="1"/>
  <c r="L31" i="25"/>
  <c r="N44" i="6"/>
  <c r="F22" i="6" s="1"/>
  <c r="N44" i="8"/>
  <c r="F22" i="8" s="1"/>
  <c r="P50" i="20"/>
  <c r="P50" i="22"/>
  <c r="P50" i="16"/>
  <c r="P50" i="18"/>
  <c r="P50" i="4"/>
  <c r="P50" i="5"/>
  <c r="P49" i="25"/>
  <c r="N49" i="25" s="1"/>
  <c r="N44" i="5"/>
  <c r="F22" i="5" s="1"/>
  <c r="N44" i="19"/>
  <c r="F22" i="19" s="1"/>
  <c r="N44" i="17"/>
  <c r="F22" i="17" s="1"/>
  <c r="N44" i="22"/>
  <c r="F22" i="22" s="1"/>
  <c r="N44" i="1"/>
  <c r="F22" i="1" s="1"/>
  <c r="P50" i="10"/>
  <c r="P50" i="9"/>
  <c r="P50" i="19"/>
  <c r="P50" i="23"/>
  <c r="N44" i="14"/>
  <c r="F22" i="14" s="1"/>
  <c r="P48" i="25"/>
  <c r="N44" i="13"/>
  <c r="F22" i="13" s="1"/>
  <c r="N44" i="11"/>
  <c r="F22" i="11" s="1"/>
  <c r="N44" i="9"/>
  <c r="F22" i="9" s="1"/>
  <c r="N44" i="7"/>
  <c r="D57" i="7" s="1"/>
  <c r="V15" i="25"/>
  <c r="P44" i="14"/>
  <c r="F17" i="14" s="1"/>
  <c r="V17" i="14" s="1"/>
  <c r="N44" i="4"/>
  <c r="F22" i="4" s="1"/>
  <c r="N44" i="18"/>
  <c r="F22" i="18" s="1"/>
  <c r="N44" i="16"/>
  <c r="F22" i="16" s="1"/>
  <c r="N44" i="21"/>
  <c r="F22" i="21" s="1"/>
  <c r="N44" i="23"/>
  <c r="F22" i="23" s="1"/>
  <c r="P44" i="18"/>
  <c r="F17" i="18" s="1"/>
  <c r="V17" i="18" s="1"/>
  <c r="P44" i="16"/>
  <c r="P44" i="1"/>
  <c r="F17" i="1" s="1"/>
  <c r="N44" i="20"/>
  <c r="F22" i="20" s="1"/>
  <c r="P44" i="8"/>
  <c r="F17" i="8" s="1"/>
  <c r="V17" i="8" s="1"/>
  <c r="P44" i="6"/>
  <c r="P44" i="5"/>
  <c r="F17" i="5" s="1"/>
  <c r="V17" i="5" s="1"/>
  <c r="P44" i="4"/>
  <c r="F17" i="4" s="1"/>
  <c r="V17" i="4" s="1"/>
  <c r="P44" i="19"/>
  <c r="F17" i="19" s="1"/>
  <c r="V17" i="19" s="1"/>
  <c r="P44" i="17"/>
  <c r="F17" i="17" s="1"/>
  <c r="V17" i="17" s="1"/>
  <c r="P44" i="22"/>
  <c r="F17" i="22" s="1"/>
  <c r="P44" i="21"/>
  <c r="F17" i="21" s="1"/>
  <c r="V17" i="21" s="1"/>
  <c r="P44" i="20"/>
  <c r="N44" i="25"/>
  <c r="D57" i="25" s="1"/>
  <c r="P44" i="13"/>
  <c r="F17" i="13" s="1"/>
  <c r="V17" i="13" s="1"/>
  <c r="P44" i="12"/>
  <c r="F17" i="12" s="1"/>
  <c r="V17" i="12" s="1"/>
  <c r="P44" i="11"/>
  <c r="P44" i="10"/>
  <c r="P44" i="9"/>
  <c r="P44" i="7"/>
  <c r="P44" i="23"/>
  <c r="V18" i="23"/>
  <c r="V18" i="20"/>
  <c r="V18" i="10"/>
  <c r="V18" i="11"/>
  <c r="V18" i="12"/>
  <c r="V18" i="14"/>
  <c r="V18" i="21"/>
  <c r="V18" i="22"/>
  <c r="V18" i="16"/>
  <c r="V18" i="17"/>
  <c r="V18" i="19"/>
  <c r="V18" i="4"/>
  <c r="V18" i="6"/>
  <c r="V18" i="7"/>
  <c r="V18" i="9"/>
  <c r="L18" i="25"/>
  <c r="V18" i="13"/>
  <c r="N18" i="25"/>
  <c r="H18" i="25"/>
  <c r="R18" i="25"/>
  <c r="T18" i="25"/>
  <c r="L17" i="25"/>
  <c r="P18" i="25"/>
  <c r="J18" i="25"/>
  <c r="V18" i="15"/>
  <c r="V16" i="25"/>
  <c r="F18" i="25"/>
  <c r="P50" i="6"/>
  <c r="H17" i="22"/>
  <c r="H17" i="25" s="1"/>
  <c r="D57" i="10"/>
  <c r="P50" i="11"/>
  <c r="P44" i="15"/>
  <c r="F17" i="15" s="1"/>
  <c r="D57" i="12" l="1"/>
  <c r="F17" i="16"/>
  <c r="V17" i="16" s="1"/>
  <c r="F17" i="7"/>
  <c r="V17" i="7" s="1"/>
  <c r="F22" i="7"/>
  <c r="V17" i="1"/>
  <c r="J25" i="1"/>
  <c r="D57" i="19"/>
  <c r="L32" i="25"/>
  <c r="D57" i="5"/>
  <c r="D57" i="13"/>
  <c r="D57" i="6"/>
  <c r="D57" i="14"/>
  <c r="D58" i="22"/>
  <c r="D57" i="8"/>
  <c r="F17" i="23"/>
  <c r="V17" i="23" s="1"/>
  <c r="F17" i="20"/>
  <c r="V17" i="20" s="1"/>
  <c r="F17" i="9"/>
  <c r="V17" i="9" s="1"/>
  <c r="F17" i="11"/>
  <c r="V17" i="11" s="1"/>
  <c r="D57" i="1"/>
  <c r="D57" i="17"/>
  <c r="D57" i="4"/>
  <c r="D57" i="9"/>
  <c r="F17" i="10"/>
  <c r="V17" i="10" s="1"/>
  <c r="D57" i="11"/>
  <c r="D58" i="16"/>
  <c r="D57" i="18"/>
  <c r="V18" i="25"/>
  <c r="D57" i="21"/>
  <c r="D57" i="23"/>
  <c r="F17" i="6"/>
  <c r="V17" i="6" s="1"/>
  <c r="D57" i="20"/>
  <c r="V19" i="25"/>
  <c r="J25" i="25" s="1"/>
  <c r="V17" i="22"/>
  <c r="A3" i="24"/>
  <c r="F17" i="25" l="1"/>
  <c r="P54" i="15" s="1"/>
  <c r="P58" i="15" s="1"/>
  <c r="L34" i="25"/>
  <c r="L33" i="25"/>
  <c r="V17" i="15"/>
  <c r="L35" i="25" l="1"/>
  <c r="V17" i="25"/>
  <c r="L36" i="25" l="1"/>
  <c r="L37" i="25" l="1"/>
  <c r="L38" i="25" l="1"/>
  <c r="L39" i="25" l="1"/>
  <c r="L40" i="25" l="1"/>
  <c r="L41" i="25" l="1"/>
  <c r="L42" i="25" l="1"/>
  <c r="L43" i="25" l="1"/>
  <c r="L44" i="25" l="1"/>
  <c r="L46" i="25" s="1"/>
  <c r="L47" i="25" l="1"/>
  <c r="L48" i="25" l="1"/>
  <c r="N47" i="25"/>
  <c r="N48" i="25" l="1"/>
  <c r="L50" i="25"/>
  <c r="N50" i="25" s="1"/>
  <c r="L52" i="25" l="1"/>
</calcChain>
</file>

<file path=xl/comments1.xml><?xml version="1.0" encoding="utf-8"?>
<comments xmlns="http://schemas.openxmlformats.org/spreadsheetml/2006/main">
  <authors>
    <author>User</author>
  </authors>
  <commentList>
    <comment ref="C17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с управленческими </t>
        </r>
      </text>
    </comment>
  </commentList>
</comments>
</file>

<file path=xl/sharedStrings.xml><?xml version="1.0" encoding="utf-8"?>
<sst xmlns="http://schemas.openxmlformats.org/spreadsheetml/2006/main" count="1259" uniqueCount="118">
  <si>
    <t>Отчёт по затратам на содержание и текущий ремонт</t>
  </si>
  <si>
    <t>Расчёт, руб.</t>
  </si>
  <si>
    <t>Баланс на начало года</t>
  </si>
  <si>
    <t>Начислено</t>
  </si>
  <si>
    <t>Оплачено</t>
  </si>
  <si>
    <t>Израсходовано фактически за содержание жилья</t>
  </si>
  <si>
    <t>Баланс на конец года</t>
  </si>
  <si>
    <t>Содержание</t>
  </si>
  <si>
    <t>Всего</t>
  </si>
  <si>
    <t>Кап. ремонт</t>
  </si>
  <si>
    <t>Итого</t>
  </si>
  <si>
    <t>Справочно:</t>
  </si>
  <si>
    <t>Задолженность населения по всем услугам и работам УК в руб. за отчетный период</t>
  </si>
  <si>
    <t xml:space="preserve">№ </t>
  </si>
  <si>
    <t>Статья расходов</t>
  </si>
  <si>
    <t>Услуги по обслуживанию систем теплоснабжения, водоснабжение и водоотведения</t>
  </si>
  <si>
    <t>Транспортные услуги</t>
  </si>
  <si>
    <t>Сброс снега с крыш</t>
  </si>
  <si>
    <t>Уборка придомовой территории</t>
  </si>
  <si>
    <t>Аварийно-диспетческое обслуживание</t>
  </si>
  <si>
    <t>Обработка платежей, печать квитанций, услуги по сбору платежей</t>
  </si>
  <si>
    <t>Расходы по содержанию УК 20% от поступивших денежных средств на содержание общего имущества</t>
  </si>
  <si>
    <t>Услуги по взыскиванию долгов населения</t>
  </si>
  <si>
    <t>Работа паспортного стола</t>
  </si>
  <si>
    <t>Санитарные работы по содержанию помещений общего пользования</t>
  </si>
  <si>
    <t>Подготовка многоквартирного дома к сезонной эксплуатации</t>
  </si>
  <si>
    <t>Итого расходов на содержание жилья</t>
  </si>
  <si>
    <t>Текущий ремонт</t>
  </si>
  <si>
    <t>Сумма, руб.</t>
  </si>
  <si>
    <t>Итого расходов на текущему ремонту</t>
  </si>
  <si>
    <t>Капитальный ремонт</t>
  </si>
  <si>
    <t>Итого расходов по капитальному ремонту</t>
  </si>
  <si>
    <t>Работы выполнены ООО "Ресурс-Т", Томского района пос. Рассвет</t>
  </si>
  <si>
    <t>Площадь жилых помещений</t>
  </si>
  <si>
    <t>Услуги по обслуживанию конструктивных элементов</t>
  </si>
  <si>
    <t>Количество прописанных</t>
  </si>
  <si>
    <t>Количество л/с</t>
  </si>
  <si>
    <t>%</t>
  </si>
  <si>
    <t>Примечание:</t>
  </si>
  <si>
    <t>Рекомендовано утвердить новые тарифы:</t>
  </si>
  <si>
    <t>Директор ООО "Ресурс-Т"</t>
  </si>
  <si>
    <t>Соложенко В.А.</t>
  </si>
  <si>
    <t>Отчёт принят собственниками МКД</t>
  </si>
  <si>
    <t>кв._____</t>
  </si>
  <si>
    <r>
      <t>Фактический тариф, руб/м</t>
    </r>
    <r>
      <rPr>
        <sz val="12"/>
        <color theme="1"/>
        <rFont val="Calibri"/>
        <family val="2"/>
        <charset val="204"/>
      </rPr>
      <t>²</t>
    </r>
  </si>
  <si>
    <r>
      <t>Общая площадь, м</t>
    </r>
    <r>
      <rPr>
        <sz val="12"/>
        <color theme="1"/>
        <rFont val="Calibri"/>
        <family val="2"/>
        <charset val="204"/>
      </rPr>
      <t>²</t>
    </r>
  </si>
  <si>
    <r>
      <t>Тариф по факту, руб./м</t>
    </r>
    <r>
      <rPr>
        <sz val="12"/>
        <color theme="1"/>
        <rFont val="Calibri"/>
        <family val="2"/>
        <charset val="204"/>
      </rPr>
      <t>²</t>
    </r>
  </si>
  <si>
    <t>по адресу: п. Рассвет, дом № 1</t>
  </si>
  <si>
    <t>по адресу: п. Рассвет, дом № 2</t>
  </si>
  <si>
    <t>по адресу: п. Рассвет, дом № 4</t>
  </si>
  <si>
    <t>по адресу: п. Рассвет, дом № 5</t>
  </si>
  <si>
    <t>по адресу: п. Рассвет, дом № 6</t>
  </si>
  <si>
    <t>по адресу: п. Рассвет, дом № 12</t>
  </si>
  <si>
    <t>по адресу: п. Рассвет, дом № 13</t>
  </si>
  <si>
    <t>по адресу: п.Рассвет, дом № 14</t>
  </si>
  <si>
    <t>по адресу: п. Рассвет, дом № 16</t>
  </si>
  <si>
    <t>по адресу: п. Рассвет, дом № 17</t>
  </si>
  <si>
    <t>по адресу: п. Рассвет, дом № 18</t>
  </si>
  <si>
    <t>по адресу: п. Рассвет, дом № 19</t>
  </si>
  <si>
    <t>по адресу: п. Рассвет, дом № 20</t>
  </si>
  <si>
    <t>по адресу: п. Рассвет, дом № 21</t>
  </si>
  <si>
    <t>по адресу: п. Рассвет, дом № 22</t>
  </si>
  <si>
    <t>по адресу: п. Рассвет, дом № 23</t>
  </si>
  <si>
    <t>по адресу: п. Рассвет, дом № 24</t>
  </si>
  <si>
    <t>по адресу: п. Рассвет, дом № 25</t>
  </si>
  <si>
    <t>по адресу: п. Рассвет, дом № 26</t>
  </si>
  <si>
    <t>по адресу: п. Рассвет, дом № 27</t>
  </si>
  <si>
    <t>Отопление</t>
  </si>
  <si>
    <t>Вывоз ТБО (руб./чел.)</t>
  </si>
  <si>
    <t>Обслуживание антены (руб./лиц.сч.)</t>
  </si>
  <si>
    <t>Капитальный ремонт крыши (доля собственников жилья)</t>
  </si>
  <si>
    <t>Ремонт подъездов</t>
  </si>
  <si>
    <t>Ремонт подъезда</t>
  </si>
  <si>
    <t>Замена задвижек, вентилей</t>
  </si>
  <si>
    <t>Электромонтажные работы (замена в этажном электрощитке)</t>
  </si>
  <si>
    <t>20 счёт!!!</t>
  </si>
  <si>
    <t>по адресу: п. Рассвет</t>
  </si>
  <si>
    <t>Израсходовано фактически за содержание жилья, руб.</t>
  </si>
  <si>
    <t>по адресу: п. Рассвет, дом № 3</t>
  </si>
  <si>
    <t>Остаток с предыдущего периода (задолженность(-), переплата (+)) на 01.07.2012г.</t>
  </si>
  <si>
    <t>Текущий остаток (задолженность (-), переплата (+)) на 31.10.2014г.</t>
  </si>
  <si>
    <t xml:space="preserve"> ООО "Ресурс-Т", Томского района пос. Рассвет</t>
  </si>
  <si>
    <t>Отчёт по капитальному ремонту, содержанию и текущему ремонту за период  01.07.2012-31.10.2014 гг.</t>
  </si>
  <si>
    <r>
      <t>Действующий тариф (руб/м</t>
    </r>
    <r>
      <rPr>
        <sz val="12"/>
        <color theme="1"/>
        <rFont val="Calibri"/>
        <family val="2"/>
        <charset val="204"/>
      </rPr>
      <t>²)</t>
    </r>
  </si>
  <si>
    <t>Снятие показаний электросчётчиков</t>
  </si>
  <si>
    <t xml:space="preserve"> </t>
  </si>
  <si>
    <t xml:space="preserve">Ремонт мягкой кровли дом № 3 </t>
  </si>
  <si>
    <t xml:space="preserve">Текущий ремонт рулонной кровли </t>
  </si>
  <si>
    <t>Ремонт электрощитка в подъезде дома № 2</t>
  </si>
  <si>
    <t>Ремонт мягкой кровли дом № 18</t>
  </si>
  <si>
    <t>Ремонт мякгой кровли дом № 19</t>
  </si>
  <si>
    <t>Прочие</t>
  </si>
  <si>
    <t>Ремонтные работы системы теплоснабжения</t>
  </si>
  <si>
    <t>Содержание общего имущества дома</t>
  </si>
  <si>
    <t>Содержание  общего имущества дома</t>
  </si>
  <si>
    <t>Содержание общнго имущества дома</t>
  </si>
  <si>
    <t xml:space="preserve">Содержание оьщего имущества дома </t>
  </si>
  <si>
    <t xml:space="preserve">Хол. вода </t>
  </si>
  <si>
    <t xml:space="preserve">Гор. вода </t>
  </si>
  <si>
    <t>Канализация</t>
  </si>
  <si>
    <t>18,66 руб./м3</t>
  </si>
  <si>
    <t>с 01.07.2015 не обслуживаем</t>
  </si>
  <si>
    <t xml:space="preserve">15,02 руб./м3 </t>
  </si>
  <si>
    <t>99,55 руб./м3</t>
  </si>
  <si>
    <t>с 1.01.2016 по 31.12.2016 г.</t>
  </si>
  <si>
    <r>
      <t>Тариф (руб/м</t>
    </r>
    <r>
      <rPr>
        <sz val="12"/>
        <color theme="1"/>
        <rFont val="Calibri"/>
        <family val="2"/>
        <charset val="204"/>
      </rPr>
      <t>²), 1-е полугодие</t>
    </r>
  </si>
  <si>
    <r>
      <t>Тариф (руб/м</t>
    </r>
    <r>
      <rPr>
        <sz val="12"/>
        <color theme="1"/>
        <rFont val="Calibri"/>
        <family val="2"/>
        <charset val="204"/>
      </rPr>
      <t>²), 2-е полугодие</t>
    </r>
  </si>
  <si>
    <r>
      <t>15,63 руб./м</t>
    </r>
    <r>
      <rPr>
        <sz val="12"/>
        <color theme="1"/>
        <rFont val="Calibri"/>
        <family val="2"/>
        <charset val="204"/>
      </rPr>
      <t>³</t>
    </r>
  </si>
  <si>
    <r>
      <t>102,59 руб./м</t>
    </r>
    <r>
      <rPr>
        <sz val="12"/>
        <color theme="1"/>
        <rFont val="Calibri"/>
        <family val="2"/>
        <charset val="204"/>
      </rPr>
      <t>³</t>
    </r>
  </si>
  <si>
    <r>
      <t>19,41 руб./м</t>
    </r>
    <r>
      <rPr>
        <sz val="12"/>
        <color theme="1"/>
        <rFont val="Calibri"/>
        <family val="2"/>
        <charset val="204"/>
      </rPr>
      <t>³</t>
    </r>
  </si>
  <si>
    <t>Остаток с предыдущего периода (задолженность(-), переплата (+)) на 01.01.2016г.</t>
  </si>
  <si>
    <t>Текущий остаток (задолженность (-), переплата (+)) на 31.12.2016 г.</t>
  </si>
  <si>
    <t>с 01.03.2016 не обслуживаем</t>
  </si>
  <si>
    <t>Тек. ремонт</t>
  </si>
  <si>
    <t>Электромонтажные работы общедомового имущества в жилом доме № 1</t>
  </si>
  <si>
    <t>Установка металлической двери в жилом доме № 26</t>
  </si>
  <si>
    <t>Изготовление установка деревянной двери в жилом доме № 22</t>
  </si>
  <si>
    <t>Транспортные услуги, очистка снега придомовой территории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</si>
</sst>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u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2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/>
    <xf numFmtId="2" fontId="1" fillId="0" borderId="1" xfId="0" applyNumberFormat="1" applyFont="1" applyBorder="1" applyAlignment="1">
      <alignment horizontal="center" vertical="center"/>
    </xf>
    <xf numFmtId="0" fontId="0" fillId="2" borderId="0" xfId="0" applyFill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/>
    <xf numFmtId="1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/>
    <xf numFmtId="0" fontId="1" fillId="3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/>
    <xf numFmtId="164" fontId="1" fillId="4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1" fillId="4" borderId="1" xfId="0" applyNumberFormat="1" applyFont="1" applyFill="1" applyBorder="1"/>
    <xf numFmtId="0" fontId="1" fillId="4" borderId="1" xfId="0" applyFont="1" applyFill="1" applyBorder="1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4" fillId="4" borderId="1" xfId="0" applyFont="1" applyFill="1" applyBorder="1"/>
    <xf numFmtId="164" fontId="4" fillId="4" borderId="1" xfId="0" applyNumberFormat="1" applyFont="1" applyFill="1" applyBorder="1"/>
    <xf numFmtId="164" fontId="4" fillId="0" borderId="0" xfId="0" applyNumberFormat="1" applyFont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2" fontId="1" fillId="0" borderId="2" xfId="0" applyNumberFormat="1" applyFont="1" applyBorder="1"/>
    <xf numFmtId="2" fontId="1" fillId="0" borderId="0" xfId="0" applyNumberFormat="1" applyFont="1"/>
    <xf numFmtId="2" fontId="4" fillId="4" borderId="1" xfId="0" applyNumberFormat="1" applyFont="1" applyFill="1" applyBorder="1"/>
    <xf numFmtId="2" fontId="1" fillId="2" borderId="0" xfId="0" applyNumberFormat="1" applyFont="1" applyFill="1"/>
    <xf numFmtId="0" fontId="7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2" fontId="4" fillId="4" borderId="4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4" fillId="4" borderId="4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164" fontId="4" fillId="4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V65"/>
  <sheetViews>
    <sheetView tabSelected="1" topLeftCell="A7" zoomScale="71" zoomScaleNormal="71" zoomScaleSheetLayoutView="78" workbookViewId="0">
      <selection activeCell="D19" sqref="D19:E19"/>
    </sheetView>
  </sheetViews>
  <sheetFormatPr defaultRowHeight="15.75" x14ac:dyDescent="0.25"/>
  <cols>
    <col min="1" max="1" width="4.5703125" style="1" customWidth="1"/>
    <col min="2" max="2" width="3.7109375" style="1" bestFit="1" customWidth="1"/>
    <col min="3" max="3" width="37.5703125" style="1" customWidth="1"/>
    <col min="4" max="4" width="13.28515625" style="1" customWidth="1"/>
    <col min="5" max="5" width="10.28515625" style="1" customWidth="1"/>
    <col min="6" max="6" width="10.5703125" style="1" bestFit="1" customWidth="1"/>
    <col min="7" max="7" width="1.5703125" style="1" customWidth="1"/>
    <col min="8" max="8" width="12.5703125" style="1" customWidth="1"/>
    <col min="9" max="9" width="1.5703125" style="1" customWidth="1"/>
    <col min="10" max="10" width="11.140625" style="1" customWidth="1"/>
    <col min="11" max="11" width="2.28515625" style="1" customWidth="1"/>
    <col min="12" max="12" width="12.140625" style="1" customWidth="1"/>
    <col min="13" max="13" width="1.5703125" style="1" customWidth="1"/>
    <col min="14" max="14" width="15.7109375" style="1" customWidth="1"/>
    <col min="15" max="15" width="1.7109375" style="1" customWidth="1"/>
    <col min="16" max="16" width="14.140625" style="1" customWidth="1"/>
    <col min="17" max="17" width="6.85546875" style="1" customWidth="1"/>
    <col min="18" max="18" width="11.85546875" style="1" customWidth="1"/>
    <col min="19" max="19" width="7.28515625" style="1" customWidth="1"/>
    <col min="20" max="20" width="14.85546875" style="1" customWidth="1"/>
    <col min="21" max="21" width="7" style="1" customWidth="1"/>
    <col min="22" max="22" width="12.140625" style="1" customWidth="1"/>
    <col min="23" max="16384" width="9.140625" style="1"/>
  </cols>
  <sheetData>
    <row r="1" spans="2:22" ht="16.5" thickBot="1" x14ac:dyDescent="0.3"/>
    <row r="2" spans="2:22" x14ac:dyDescent="0.25">
      <c r="B2" s="63" t="s">
        <v>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5"/>
    </row>
    <row r="3" spans="2:22" x14ac:dyDescent="0.25">
      <c r="B3" s="66" t="s">
        <v>104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/>
    </row>
    <row r="4" spans="2:22" ht="16.5" thickBot="1" x14ac:dyDescent="0.3">
      <c r="B4" s="69" t="s">
        <v>32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1"/>
    </row>
    <row r="5" spans="2:22" x14ac:dyDescent="0.25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2:22" x14ac:dyDescent="0.25">
      <c r="C6" s="29" t="s">
        <v>47</v>
      </c>
    </row>
    <row r="8" spans="2:22" x14ac:dyDescent="0.25">
      <c r="C8" s="1" t="s">
        <v>33</v>
      </c>
      <c r="D8" s="2">
        <v>3585.5</v>
      </c>
    </row>
    <row r="9" spans="2:22" x14ac:dyDescent="0.25">
      <c r="C9" s="1" t="s">
        <v>35</v>
      </c>
      <c r="D9" s="3">
        <v>211</v>
      </c>
    </row>
    <row r="10" spans="2:22" x14ac:dyDescent="0.25">
      <c r="C10" s="1" t="s">
        <v>36</v>
      </c>
      <c r="D10" s="3">
        <v>81</v>
      </c>
    </row>
    <row r="12" spans="2:22" ht="63" x14ac:dyDescent="0.25">
      <c r="C12" s="27" t="s">
        <v>1</v>
      </c>
      <c r="D12" s="59" t="s">
        <v>93</v>
      </c>
      <c r="E12" s="60"/>
      <c r="F12" s="27" t="s">
        <v>8</v>
      </c>
      <c r="G12" s="36"/>
      <c r="H12" s="27" t="s">
        <v>113</v>
      </c>
      <c r="I12" s="36"/>
      <c r="J12" s="28" t="s">
        <v>68</v>
      </c>
      <c r="K12" s="36"/>
      <c r="L12" s="28" t="s">
        <v>67</v>
      </c>
      <c r="M12" s="36"/>
      <c r="N12" s="28" t="s">
        <v>69</v>
      </c>
      <c r="O12" s="37"/>
      <c r="P12" s="59" t="s">
        <v>97</v>
      </c>
      <c r="Q12" s="60"/>
      <c r="R12" s="59" t="s">
        <v>98</v>
      </c>
      <c r="S12" s="60"/>
      <c r="T12" s="59" t="s">
        <v>99</v>
      </c>
      <c r="U12" s="60"/>
      <c r="V12" s="27" t="s">
        <v>10</v>
      </c>
    </row>
    <row r="13" spans="2:22" x14ac:dyDescent="0.25">
      <c r="C13" s="9" t="s">
        <v>2</v>
      </c>
      <c r="D13" s="57"/>
      <c r="E13" s="58"/>
      <c r="F13" s="11"/>
      <c r="G13" s="7"/>
      <c r="H13" s="11"/>
      <c r="I13" s="7"/>
      <c r="J13" s="11"/>
      <c r="K13" s="7"/>
      <c r="L13" s="11"/>
      <c r="M13" s="7"/>
      <c r="N13" s="11"/>
      <c r="O13" s="7"/>
      <c r="P13" s="57"/>
      <c r="Q13" s="58"/>
      <c r="R13" s="57"/>
      <c r="S13" s="58"/>
      <c r="T13" s="57"/>
      <c r="U13" s="58"/>
      <c r="V13" s="30">
        <f>V14</f>
        <v>-759042.51000000013</v>
      </c>
    </row>
    <row r="14" spans="2:22" ht="47.25" x14ac:dyDescent="0.25">
      <c r="C14" s="10" t="s">
        <v>110</v>
      </c>
      <c r="D14" s="57"/>
      <c r="E14" s="58"/>
      <c r="F14" s="11">
        <v>-201115.34</v>
      </c>
      <c r="G14" s="7"/>
      <c r="H14" s="11">
        <v>0</v>
      </c>
      <c r="I14" s="7"/>
      <c r="J14" s="11">
        <v>-30318.49</v>
      </c>
      <c r="K14" s="7"/>
      <c r="L14" s="11">
        <v>-322593.93</v>
      </c>
      <c r="M14" s="7"/>
      <c r="N14" s="11">
        <v>-7725.31</v>
      </c>
      <c r="O14" s="7"/>
      <c r="P14" s="57">
        <v>-23706.89</v>
      </c>
      <c r="Q14" s="58"/>
      <c r="R14" s="57">
        <v>-118868.63</v>
      </c>
      <c r="S14" s="58"/>
      <c r="T14" s="57">
        <v>-54713.919999999998</v>
      </c>
      <c r="U14" s="58"/>
      <c r="V14" s="14">
        <f>F14+H14+J14+L14+N14+P14+Q14+R14+S14+T14+U14</f>
        <v>-759042.51000000013</v>
      </c>
    </row>
    <row r="15" spans="2:22" x14ac:dyDescent="0.25">
      <c r="C15" s="9" t="s">
        <v>3</v>
      </c>
      <c r="D15" s="57"/>
      <c r="E15" s="58"/>
      <c r="F15" s="11">
        <v>657338.66</v>
      </c>
      <c r="G15" s="7"/>
      <c r="H15" s="14">
        <v>135131.89000000001</v>
      </c>
      <c r="I15" s="7"/>
      <c r="J15" s="14">
        <v>108406.1</v>
      </c>
      <c r="K15" s="7"/>
      <c r="L15" s="14">
        <f>1129283.25+114757.83</f>
        <v>1244041.08</v>
      </c>
      <c r="M15" s="7"/>
      <c r="N15" s="11">
        <v>37950</v>
      </c>
      <c r="O15" s="7"/>
      <c r="P15" s="57">
        <f>303.42+86046.99+3423.31</f>
        <v>89773.72</v>
      </c>
      <c r="Q15" s="58"/>
      <c r="R15" s="61">
        <f>415947.63+14869.48</f>
        <v>430817.11</v>
      </c>
      <c r="S15" s="62"/>
      <c r="T15" s="61">
        <f>106307.21+78526.44</f>
        <v>184833.65000000002</v>
      </c>
      <c r="U15" s="62"/>
      <c r="V15" s="14">
        <f>F15+H15+J15+L15+N15+P15+Q15+R15+S15+T15+U15</f>
        <v>2888292.21</v>
      </c>
    </row>
    <row r="16" spans="2:22" x14ac:dyDescent="0.25">
      <c r="C16" s="9" t="s">
        <v>4</v>
      </c>
      <c r="D16" s="57"/>
      <c r="E16" s="58"/>
      <c r="F16" s="11">
        <f>634277.34+3458.4</f>
        <v>637735.74</v>
      </c>
      <c r="G16" s="7"/>
      <c r="H16" s="14">
        <v>120279.36</v>
      </c>
      <c r="I16" s="7"/>
      <c r="J16" s="14">
        <v>114653.54</v>
      </c>
      <c r="K16" s="7"/>
      <c r="L16" s="14">
        <f>1092957.28+66107.65</f>
        <v>1159064.93</v>
      </c>
      <c r="M16" s="7"/>
      <c r="N16" s="14">
        <v>37593.050000000003</v>
      </c>
      <c r="O16" s="7"/>
      <c r="P16" s="61">
        <f>302.4+91006.01+1956.29</f>
        <v>93264.699999999983</v>
      </c>
      <c r="Q16" s="62"/>
      <c r="R16" s="61">
        <f>431496.36+8197.1</f>
        <v>439693.45999999996</v>
      </c>
      <c r="S16" s="62"/>
      <c r="T16" s="61">
        <f>121535+74169.47</f>
        <v>195704.47</v>
      </c>
      <c r="U16" s="62"/>
      <c r="V16" s="14">
        <f>F16+H16+J16+L16+N16+P16+Q16+R16+S16+T16+U16</f>
        <v>2797989.25</v>
      </c>
    </row>
    <row r="17" spans="2:22" ht="31.5" x14ac:dyDescent="0.25">
      <c r="C17" s="10" t="s">
        <v>77</v>
      </c>
      <c r="D17" s="57"/>
      <c r="E17" s="58"/>
      <c r="F17" s="14">
        <f>P44+P50</f>
        <v>858323.49669860001</v>
      </c>
      <c r="G17" s="7"/>
      <c r="H17" s="11">
        <v>93804.18</v>
      </c>
      <c r="I17" s="7"/>
      <c r="J17" s="14">
        <f>J15+18637.28</f>
        <v>127043.38</v>
      </c>
      <c r="K17" s="7"/>
      <c r="L17" s="14">
        <f>(D8*L20*6)+(D8*L21*6)</f>
        <v>1132014.06</v>
      </c>
      <c r="M17" s="7"/>
      <c r="N17" s="14">
        <v>11336.326999999999</v>
      </c>
      <c r="O17" s="7"/>
      <c r="P17" s="61">
        <f>P15+Q15+114670.71</f>
        <v>204444.43</v>
      </c>
      <c r="Q17" s="62"/>
      <c r="R17" s="61">
        <f>R15+S15</f>
        <v>430817.11</v>
      </c>
      <c r="S17" s="62"/>
      <c r="T17" s="61">
        <f>T15+U15</f>
        <v>184833.65000000002</v>
      </c>
      <c r="U17" s="58"/>
      <c r="V17" s="14">
        <f>F17+H17+J17+L17+N17+P17+Q17+R17+S17+T17+U17</f>
        <v>3042616.6336985999</v>
      </c>
    </row>
    <row r="18" spans="2:22" ht="31.5" x14ac:dyDescent="0.25">
      <c r="C18" s="10" t="s">
        <v>111</v>
      </c>
      <c r="D18" s="57"/>
      <c r="E18" s="58"/>
      <c r="F18" s="31">
        <f>F16-F15+F14</f>
        <v>-220718.26000000004</v>
      </c>
      <c r="G18" s="32"/>
      <c r="H18" s="31">
        <f>H16-H15+H14</f>
        <v>-14852.530000000013</v>
      </c>
      <c r="I18" s="32"/>
      <c r="J18" s="31">
        <f>J16-J15+J14</f>
        <v>-24071.050000000014</v>
      </c>
      <c r="K18" s="32"/>
      <c r="L18" s="31">
        <f>L16-L15+L14</f>
        <v>-407570.08000000013</v>
      </c>
      <c r="M18" s="32"/>
      <c r="N18" s="31">
        <f>N16-N15+N14</f>
        <v>-8082.2599999999975</v>
      </c>
      <c r="O18" s="32"/>
      <c r="P18" s="55">
        <f t="shared" ref="P18:V18" si="0">P16-P15+P14</f>
        <v>-20215.910000000018</v>
      </c>
      <c r="Q18" s="56"/>
      <c r="R18" s="55">
        <f t="shared" si="0"/>
        <v>-109992.28000000003</v>
      </c>
      <c r="S18" s="56"/>
      <c r="T18" s="55">
        <f t="shared" si="0"/>
        <v>-43843.10000000002</v>
      </c>
      <c r="U18" s="56"/>
      <c r="V18" s="31">
        <f t="shared" si="0"/>
        <v>-849345.47000000009</v>
      </c>
    </row>
    <row r="19" spans="2:22" x14ac:dyDescent="0.25">
      <c r="C19" s="9" t="s">
        <v>6</v>
      </c>
      <c r="D19" s="57"/>
      <c r="E19" s="58"/>
      <c r="F19" s="11"/>
      <c r="G19" s="7"/>
      <c r="H19" s="11"/>
      <c r="I19" s="7"/>
      <c r="J19" s="11"/>
      <c r="K19" s="7"/>
      <c r="L19" s="11"/>
      <c r="M19" s="7"/>
      <c r="N19" s="11"/>
      <c r="O19" s="7"/>
      <c r="P19" s="57"/>
      <c r="Q19" s="58"/>
      <c r="R19" s="57"/>
      <c r="S19" s="58"/>
      <c r="T19" s="57"/>
      <c r="U19" s="58"/>
      <c r="V19" s="30">
        <f>F18+H18+J18+L18+N18+P18+Q18+R18+S18+T18+U18</f>
        <v>-849345.4700000002</v>
      </c>
    </row>
    <row r="20" spans="2:22" x14ac:dyDescent="0.25">
      <c r="C20" s="9" t="s">
        <v>105</v>
      </c>
      <c r="D20" s="57"/>
      <c r="E20" s="58"/>
      <c r="F20" s="11">
        <v>15.31</v>
      </c>
      <c r="G20" s="7"/>
      <c r="H20" s="11">
        <v>37.700000000000003</v>
      </c>
      <c r="I20" s="7"/>
      <c r="J20" s="11">
        <v>44.32</v>
      </c>
      <c r="K20" s="7"/>
      <c r="L20" s="11">
        <v>25.94</v>
      </c>
      <c r="M20" s="7"/>
      <c r="N20" s="11">
        <v>50</v>
      </c>
      <c r="O20" s="7"/>
      <c r="P20" s="57" t="s">
        <v>102</v>
      </c>
      <c r="Q20" s="58"/>
      <c r="R20" s="57" t="s">
        <v>103</v>
      </c>
      <c r="S20" s="58"/>
      <c r="T20" s="57" t="s">
        <v>100</v>
      </c>
      <c r="U20" s="58"/>
      <c r="V20" s="11"/>
    </row>
    <row r="21" spans="2:22" x14ac:dyDescent="0.25">
      <c r="C21" s="9" t="s">
        <v>106</v>
      </c>
      <c r="D21" s="50"/>
      <c r="E21" s="51"/>
      <c r="F21" s="21">
        <v>15.31</v>
      </c>
      <c r="G21" s="7"/>
      <c r="H21" s="21"/>
      <c r="I21" s="7"/>
      <c r="J21" s="21">
        <v>44.32</v>
      </c>
      <c r="K21" s="7"/>
      <c r="L21" s="21">
        <v>26.68</v>
      </c>
      <c r="M21" s="7"/>
      <c r="N21" s="21">
        <v>50</v>
      </c>
      <c r="O21" s="7"/>
      <c r="P21" s="57" t="s">
        <v>107</v>
      </c>
      <c r="Q21" s="58"/>
      <c r="R21" s="57" t="s">
        <v>108</v>
      </c>
      <c r="S21" s="58"/>
      <c r="T21" s="57" t="s">
        <v>109</v>
      </c>
      <c r="U21" s="58"/>
      <c r="V21" s="21"/>
    </row>
    <row r="22" spans="2:22" x14ac:dyDescent="0.25">
      <c r="C22" s="9" t="s">
        <v>44</v>
      </c>
      <c r="D22" s="57"/>
      <c r="E22" s="58"/>
      <c r="F22" s="14">
        <f>N44</f>
        <v>16.808246099999998</v>
      </c>
      <c r="G22" s="7"/>
      <c r="H22" s="11">
        <v>37.700000000000003</v>
      </c>
      <c r="I22" s="7"/>
      <c r="J22" s="11"/>
      <c r="K22" s="7"/>
      <c r="L22" s="11"/>
      <c r="M22" s="7"/>
      <c r="N22" s="11"/>
      <c r="O22" s="7"/>
      <c r="P22" s="57"/>
      <c r="Q22" s="58"/>
      <c r="R22" s="57"/>
      <c r="S22" s="58"/>
      <c r="T22" s="57"/>
      <c r="U22" s="58"/>
      <c r="V22" s="11"/>
    </row>
    <row r="24" spans="2:22" x14ac:dyDescent="0.25">
      <c r="C24" s="5" t="s">
        <v>11</v>
      </c>
    </row>
    <row r="25" spans="2:22" x14ac:dyDescent="0.25">
      <c r="C25" s="1" t="s">
        <v>12</v>
      </c>
      <c r="J25" s="34">
        <f>V19/V15*100</f>
        <v>-29.406493811787836</v>
      </c>
      <c r="K25" s="35" t="s">
        <v>37</v>
      </c>
    </row>
    <row r="28" spans="2:22" ht="33" customHeight="1" x14ac:dyDescent="0.25">
      <c r="B28" s="27" t="s">
        <v>13</v>
      </c>
      <c r="C28" s="72" t="s">
        <v>14</v>
      </c>
      <c r="D28" s="72"/>
      <c r="E28" s="72"/>
      <c r="F28" s="72"/>
      <c r="G28" s="72"/>
      <c r="H28" s="72"/>
      <c r="I28" s="72"/>
      <c r="J28" s="72"/>
      <c r="K28" s="72"/>
      <c r="L28" s="73" t="s">
        <v>45</v>
      </c>
      <c r="M28" s="73"/>
      <c r="N28" s="73" t="s">
        <v>46</v>
      </c>
      <c r="O28" s="73"/>
      <c r="P28" s="27" t="s">
        <v>28</v>
      </c>
    </row>
    <row r="29" spans="2:22" x14ac:dyDescent="0.25">
      <c r="B29" s="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4"/>
    </row>
    <row r="30" spans="2:22" x14ac:dyDescent="0.25">
      <c r="B30" s="75" t="s">
        <v>7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</row>
    <row r="31" spans="2:22" x14ac:dyDescent="0.25">
      <c r="B31" s="4">
        <v>1</v>
      </c>
      <c r="C31" s="76" t="s">
        <v>15</v>
      </c>
      <c r="D31" s="76"/>
      <c r="E31" s="76"/>
      <c r="F31" s="76"/>
      <c r="G31" s="76"/>
      <c r="H31" s="76"/>
      <c r="I31" s="76"/>
      <c r="J31" s="76"/>
      <c r="K31" s="76"/>
      <c r="L31" s="74">
        <f>D8</f>
        <v>3585.5</v>
      </c>
      <c r="M31" s="74"/>
      <c r="N31" s="77">
        <v>3.5</v>
      </c>
      <c r="O31" s="77"/>
      <c r="P31" s="17">
        <f>L31*N31*12</f>
        <v>150591</v>
      </c>
    </row>
    <row r="32" spans="2:22" x14ac:dyDescent="0.25">
      <c r="B32" s="4">
        <v>2</v>
      </c>
      <c r="C32" s="76" t="s">
        <v>34</v>
      </c>
      <c r="D32" s="76"/>
      <c r="E32" s="76"/>
      <c r="F32" s="76"/>
      <c r="G32" s="76"/>
      <c r="H32" s="76"/>
      <c r="I32" s="76"/>
      <c r="J32" s="76"/>
      <c r="K32" s="76"/>
      <c r="L32" s="74">
        <v>3585.5</v>
      </c>
      <c r="M32" s="74"/>
      <c r="N32" s="77">
        <v>0.98752150000000005</v>
      </c>
      <c r="O32" s="77"/>
      <c r="P32" s="17">
        <f>L32*N32*12</f>
        <v>42489.100059000004</v>
      </c>
    </row>
    <row r="33" spans="2:20" x14ac:dyDescent="0.25">
      <c r="B33" s="4">
        <v>3</v>
      </c>
      <c r="C33" s="76" t="s">
        <v>117</v>
      </c>
      <c r="D33" s="76"/>
      <c r="E33" s="76"/>
      <c r="F33" s="76"/>
      <c r="G33" s="76"/>
      <c r="H33" s="76"/>
      <c r="I33" s="76"/>
      <c r="J33" s="76"/>
      <c r="K33" s="76"/>
      <c r="L33" s="74">
        <v>3585.5</v>
      </c>
      <c r="M33" s="74"/>
      <c r="N33" s="77">
        <v>2.8257476000000001</v>
      </c>
      <c r="O33" s="77"/>
      <c r="P33" s="17">
        <f t="shared" ref="P33:P43" si="1">L33*N33*12</f>
        <v>121580.61623760001</v>
      </c>
      <c r="T33" s="25"/>
    </row>
    <row r="34" spans="2:20" x14ac:dyDescent="0.25">
      <c r="B34" s="4">
        <v>4</v>
      </c>
      <c r="C34" s="76" t="s">
        <v>17</v>
      </c>
      <c r="D34" s="76"/>
      <c r="E34" s="76"/>
      <c r="F34" s="76"/>
      <c r="G34" s="76"/>
      <c r="H34" s="76"/>
      <c r="I34" s="76"/>
      <c r="J34" s="76"/>
      <c r="K34" s="76"/>
      <c r="L34" s="74">
        <v>3585.5</v>
      </c>
      <c r="M34" s="74"/>
      <c r="N34" s="77">
        <v>1</v>
      </c>
      <c r="O34" s="77"/>
      <c r="P34" s="17">
        <f t="shared" si="1"/>
        <v>43026</v>
      </c>
    </row>
    <row r="35" spans="2:20" x14ac:dyDescent="0.25">
      <c r="B35" s="4">
        <v>5</v>
      </c>
      <c r="C35" s="76" t="s">
        <v>18</v>
      </c>
      <c r="D35" s="76"/>
      <c r="E35" s="76"/>
      <c r="F35" s="76"/>
      <c r="G35" s="76"/>
      <c r="H35" s="76"/>
      <c r="I35" s="76"/>
      <c r="J35" s="76"/>
      <c r="K35" s="76"/>
      <c r="L35" s="74">
        <v>3585.5</v>
      </c>
      <c r="M35" s="74"/>
      <c r="N35" s="77">
        <v>2</v>
      </c>
      <c r="O35" s="77"/>
      <c r="P35" s="17">
        <f t="shared" si="1"/>
        <v>86052</v>
      </c>
    </row>
    <row r="36" spans="2:20" x14ac:dyDescent="0.25">
      <c r="B36" s="4">
        <v>6</v>
      </c>
      <c r="C36" s="76" t="s">
        <v>24</v>
      </c>
      <c r="D36" s="76"/>
      <c r="E36" s="76"/>
      <c r="F36" s="76"/>
      <c r="G36" s="76"/>
      <c r="H36" s="76"/>
      <c r="I36" s="76"/>
      <c r="J36" s="76"/>
      <c r="K36" s="76"/>
      <c r="L36" s="74">
        <v>3585.5</v>
      </c>
      <c r="M36" s="74"/>
      <c r="N36" s="77">
        <v>3</v>
      </c>
      <c r="O36" s="77"/>
      <c r="P36" s="17">
        <f t="shared" si="1"/>
        <v>129078</v>
      </c>
    </row>
    <row r="37" spans="2:20" x14ac:dyDescent="0.25">
      <c r="B37" s="4">
        <v>7</v>
      </c>
      <c r="C37" s="76" t="s">
        <v>19</v>
      </c>
      <c r="D37" s="76"/>
      <c r="E37" s="76"/>
      <c r="F37" s="76"/>
      <c r="G37" s="76"/>
      <c r="H37" s="76"/>
      <c r="I37" s="76"/>
      <c r="J37" s="76"/>
      <c r="K37" s="76"/>
      <c r="L37" s="74">
        <v>3585.5</v>
      </c>
      <c r="M37" s="74"/>
      <c r="N37" s="77">
        <v>0.5</v>
      </c>
      <c r="O37" s="77"/>
      <c r="P37" s="17">
        <f t="shared" si="1"/>
        <v>21513</v>
      </c>
    </row>
    <row r="38" spans="2:20" x14ac:dyDescent="0.25">
      <c r="B38" s="4">
        <v>8</v>
      </c>
      <c r="C38" s="76" t="s">
        <v>20</v>
      </c>
      <c r="D38" s="76"/>
      <c r="E38" s="76"/>
      <c r="F38" s="76"/>
      <c r="G38" s="76"/>
      <c r="H38" s="76"/>
      <c r="I38" s="76"/>
      <c r="J38" s="76"/>
      <c r="K38" s="76"/>
      <c r="L38" s="74">
        <v>3585.5</v>
      </c>
      <c r="M38" s="74"/>
      <c r="N38" s="77">
        <v>1.694977</v>
      </c>
      <c r="O38" s="77"/>
      <c r="P38" s="17">
        <f t="shared" si="1"/>
        <v>72928.080401999992</v>
      </c>
    </row>
    <row r="39" spans="2:20" x14ac:dyDescent="0.25">
      <c r="B39" s="4">
        <v>9</v>
      </c>
      <c r="C39" s="76" t="s">
        <v>84</v>
      </c>
      <c r="D39" s="76"/>
      <c r="E39" s="76"/>
      <c r="F39" s="76"/>
      <c r="G39" s="76"/>
      <c r="H39" s="76"/>
      <c r="I39" s="76"/>
      <c r="J39" s="76"/>
      <c r="K39" s="76"/>
      <c r="L39" s="74">
        <v>3585.5</v>
      </c>
      <c r="M39" s="74"/>
      <c r="N39" s="77">
        <v>0.1</v>
      </c>
      <c r="O39" s="77"/>
      <c r="P39" s="17">
        <f t="shared" si="1"/>
        <v>4302.6000000000004</v>
      </c>
    </row>
    <row r="40" spans="2:20" x14ac:dyDescent="0.25">
      <c r="B40" s="4">
        <v>10</v>
      </c>
      <c r="C40" s="76" t="s">
        <v>21</v>
      </c>
      <c r="D40" s="76"/>
      <c r="E40" s="76"/>
      <c r="F40" s="76"/>
      <c r="G40" s="76"/>
      <c r="H40" s="76"/>
      <c r="I40" s="76"/>
      <c r="J40" s="76"/>
      <c r="K40" s="76"/>
      <c r="L40" s="74">
        <v>3585.5</v>
      </c>
      <c r="M40" s="74"/>
      <c r="N40" s="77">
        <v>0.2</v>
      </c>
      <c r="O40" s="77"/>
      <c r="P40" s="17">
        <f t="shared" si="1"/>
        <v>8605.2000000000007</v>
      </c>
    </row>
    <row r="41" spans="2:20" x14ac:dyDescent="0.25">
      <c r="B41" s="4">
        <v>11</v>
      </c>
      <c r="C41" s="76" t="s">
        <v>22</v>
      </c>
      <c r="D41" s="76"/>
      <c r="E41" s="76"/>
      <c r="F41" s="76"/>
      <c r="G41" s="76"/>
      <c r="H41" s="76"/>
      <c r="I41" s="76"/>
      <c r="J41" s="76"/>
      <c r="K41" s="76"/>
      <c r="L41" s="74">
        <v>3585.5</v>
      </c>
      <c r="M41" s="74"/>
      <c r="N41" s="77">
        <v>0.5</v>
      </c>
      <c r="O41" s="77"/>
      <c r="P41" s="17">
        <f t="shared" si="1"/>
        <v>21513</v>
      </c>
    </row>
    <row r="42" spans="2:20" hidden="1" x14ac:dyDescent="0.25">
      <c r="B42" s="4">
        <v>12</v>
      </c>
      <c r="C42" s="76" t="s">
        <v>23</v>
      </c>
      <c r="D42" s="76"/>
      <c r="E42" s="76"/>
      <c r="F42" s="76"/>
      <c r="G42" s="76"/>
      <c r="H42" s="76"/>
      <c r="I42" s="76"/>
      <c r="J42" s="76"/>
      <c r="K42" s="76"/>
      <c r="L42" s="74">
        <v>3585.5</v>
      </c>
      <c r="M42" s="74"/>
      <c r="N42" s="77">
        <v>0</v>
      </c>
      <c r="O42" s="77"/>
      <c r="P42" s="17">
        <f t="shared" si="1"/>
        <v>0</v>
      </c>
    </row>
    <row r="43" spans="2:20" x14ac:dyDescent="0.25">
      <c r="B43" s="4">
        <v>12</v>
      </c>
      <c r="C43" s="76" t="s">
        <v>25</v>
      </c>
      <c r="D43" s="76"/>
      <c r="E43" s="76"/>
      <c r="F43" s="76"/>
      <c r="G43" s="76"/>
      <c r="H43" s="76"/>
      <c r="I43" s="76"/>
      <c r="J43" s="76"/>
      <c r="K43" s="76"/>
      <c r="L43" s="74">
        <v>3585.5</v>
      </c>
      <c r="M43" s="74"/>
      <c r="N43" s="77">
        <v>0.5</v>
      </c>
      <c r="O43" s="77"/>
      <c r="P43" s="17">
        <f t="shared" si="1"/>
        <v>21513</v>
      </c>
    </row>
    <row r="44" spans="2:20" x14ac:dyDescent="0.25">
      <c r="B44" s="38"/>
      <c r="C44" s="78" t="s">
        <v>26</v>
      </c>
      <c r="D44" s="78"/>
      <c r="E44" s="78"/>
      <c r="F44" s="78"/>
      <c r="G44" s="78"/>
      <c r="H44" s="78"/>
      <c r="I44" s="78"/>
      <c r="J44" s="78"/>
      <c r="K44" s="78"/>
      <c r="L44" s="79">
        <v>3585.5</v>
      </c>
      <c r="M44" s="79"/>
      <c r="N44" s="80">
        <f>SUM(N31:N43)</f>
        <v>16.808246099999998</v>
      </c>
      <c r="O44" s="81"/>
      <c r="P44" s="39">
        <f>SUM(P31:P43)</f>
        <v>723191.59669859998</v>
      </c>
    </row>
    <row r="45" spans="2:20" x14ac:dyDescent="0.25">
      <c r="B45" s="75" t="s">
        <v>27</v>
      </c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</row>
    <row r="46" spans="2:20" x14ac:dyDescent="0.25">
      <c r="B46" s="4">
        <v>1</v>
      </c>
      <c r="C46" s="82" t="s">
        <v>114</v>
      </c>
      <c r="D46" s="83"/>
      <c r="E46" s="83"/>
      <c r="F46" s="83"/>
      <c r="G46" s="83"/>
      <c r="H46" s="83"/>
      <c r="I46" s="83"/>
      <c r="J46" s="83"/>
      <c r="K46" s="84"/>
      <c r="L46" s="74">
        <v>3585.5</v>
      </c>
      <c r="M46" s="74"/>
      <c r="N46" s="85">
        <f>P46/L46/1</f>
        <v>37.68843954818017</v>
      </c>
      <c r="O46" s="85"/>
      <c r="P46" s="17">
        <v>135131.9</v>
      </c>
    </row>
    <row r="47" spans="2:20" hidden="1" x14ac:dyDescent="0.25">
      <c r="B47" s="4">
        <v>1</v>
      </c>
      <c r="C47" s="82"/>
      <c r="D47" s="83"/>
      <c r="E47" s="83"/>
      <c r="F47" s="83"/>
      <c r="G47" s="83"/>
      <c r="H47" s="83"/>
      <c r="I47" s="83"/>
      <c r="J47" s="83"/>
      <c r="K47" s="84"/>
      <c r="L47" s="74">
        <v>3585.5</v>
      </c>
      <c r="M47" s="74"/>
      <c r="N47" s="74"/>
      <c r="O47" s="74"/>
      <c r="P47" s="17">
        <f>L47*N47*6</f>
        <v>0</v>
      </c>
    </row>
    <row r="48" spans="2:20" hidden="1" x14ac:dyDescent="0.25">
      <c r="B48" s="4">
        <v>2</v>
      </c>
      <c r="C48" s="82"/>
      <c r="D48" s="83"/>
      <c r="E48" s="83"/>
      <c r="F48" s="83"/>
      <c r="G48" s="83"/>
      <c r="H48" s="83"/>
      <c r="I48" s="83"/>
      <c r="J48" s="83"/>
      <c r="K48" s="84"/>
      <c r="L48" s="74">
        <v>3585.5</v>
      </c>
      <c r="M48" s="74"/>
      <c r="N48" s="74"/>
      <c r="O48" s="74"/>
      <c r="P48" s="17">
        <f>L48*N48*6</f>
        <v>0</v>
      </c>
      <c r="R48" s="1" t="s">
        <v>85</v>
      </c>
    </row>
    <row r="49" spans="2:16" hidden="1" x14ac:dyDescent="0.25">
      <c r="B49" s="4">
        <v>4</v>
      </c>
      <c r="C49" s="74"/>
      <c r="D49" s="74"/>
      <c r="E49" s="74"/>
      <c r="F49" s="74"/>
      <c r="G49" s="74"/>
      <c r="H49" s="74"/>
      <c r="I49" s="74"/>
      <c r="J49" s="74"/>
      <c r="K49" s="74"/>
      <c r="L49" s="74">
        <v>3585.5</v>
      </c>
      <c r="M49" s="74"/>
      <c r="N49" s="74"/>
      <c r="O49" s="74"/>
      <c r="P49" s="17"/>
    </row>
    <row r="50" spans="2:16" x14ac:dyDescent="0.25">
      <c r="B50" s="38"/>
      <c r="C50" s="86" t="s">
        <v>29</v>
      </c>
      <c r="D50" s="87"/>
      <c r="E50" s="87"/>
      <c r="F50" s="87"/>
      <c r="G50" s="87"/>
      <c r="H50" s="87"/>
      <c r="I50" s="87"/>
      <c r="J50" s="87"/>
      <c r="K50" s="88"/>
      <c r="L50" s="79">
        <v>3585.5</v>
      </c>
      <c r="M50" s="79"/>
      <c r="N50" s="89">
        <f>SUM(N46:O49)</f>
        <v>37.68843954818017</v>
      </c>
      <c r="O50" s="79"/>
      <c r="P50" s="39">
        <f>SUM(P46:P49)</f>
        <v>135131.9</v>
      </c>
    </row>
    <row r="51" spans="2:16" hidden="1" x14ac:dyDescent="0.25">
      <c r="B51" s="75" t="s">
        <v>30</v>
      </c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</row>
    <row r="52" spans="2:16" hidden="1" x14ac:dyDescent="0.25">
      <c r="B52" s="38"/>
      <c r="C52" s="86" t="s">
        <v>31</v>
      </c>
      <c r="D52" s="87"/>
      <c r="E52" s="87"/>
      <c r="F52" s="87"/>
      <c r="G52" s="87"/>
      <c r="H52" s="87"/>
      <c r="I52" s="87"/>
      <c r="J52" s="87"/>
      <c r="K52" s="88"/>
      <c r="L52" s="79">
        <v>3585.5</v>
      </c>
      <c r="M52" s="79"/>
      <c r="N52" s="79">
        <v>0</v>
      </c>
      <c r="O52" s="79"/>
      <c r="P52" s="38">
        <v>0</v>
      </c>
    </row>
    <row r="54" spans="2:16" x14ac:dyDescent="0.25">
      <c r="P54" s="1">
        <f>'Все дома'!F17</f>
        <v>5845363.8847656325</v>
      </c>
    </row>
    <row r="55" spans="2:16" x14ac:dyDescent="0.25">
      <c r="C55" s="1" t="s">
        <v>38</v>
      </c>
    </row>
    <row r="56" spans="2:16" x14ac:dyDescent="0.25">
      <c r="C56" s="1" t="s">
        <v>39</v>
      </c>
      <c r="P56" s="46">
        <v>5845363.8799999999</v>
      </c>
    </row>
    <row r="57" spans="2:16" x14ac:dyDescent="0.25">
      <c r="C57" s="4" t="s">
        <v>93</v>
      </c>
      <c r="D57" s="22">
        <f>N44</f>
        <v>16.808246099999998</v>
      </c>
    </row>
    <row r="58" spans="2:16" x14ac:dyDescent="0.25">
      <c r="P58" s="46">
        <f>P56-P54</f>
        <v>-4.7656325623393059E-3</v>
      </c>
    </row>
    <row r="60" spans="2:16" x14ac:dyDescent="0.25">
      <c r="C60" s="1" t="s">
        <v>40</v>
      </c>
      <c r="D60" s="2"/>
      <c r="E60" s="2"/>
      <c r="F60" s="2"/>
      <c r="G60" s="2"/>
      <c r="J60" s="1" t="s">
        <v>41</v>
      </c>
    </row>
    <row r="63" spans="2:16" ht="24.75" customHeight="1" x14ac:dyDescent="0.25">
      <c r="C63" s="1" t="s">
        <v>42</v>
      </c>
      <c r="D63" s="2"/>
      <c r="E63" s="2"/>
      <c r="F63" s="1" t="s">
        <v>43</v>
      </c>
    </row>
    <row r="64" spans="2:16" ht="25.5" customHeight="1" x14ac:dyDescent="0.25">
      <c r="D64" s="2"/>
      <c r="E64" s="2"/>
      <c r="F64" s="1" t="s">
        <v>43</v>
      </c>
    </row>
    <row r="65" spans="4:6" ht="24.75" customHeight="1" x14ac:dyDescent="0.25">
      <c r="D65" s="2"/>
      <c r="E65" s="2"/>
      <c r="F65" s="1" t="s">
        <v>43</v>
      </c>
    </row>
  </sheetData>
  <mergeCells count="115">
    <mergeCell ref="B51:P51"/>
    <mergeCell ref="C52:K52"/>
    <mergeCell ref="L52:M52"/>
    <mergeCell ref="N52:O52"/>
    <mergeCell ref="C49:K49"/>
    <mergeCell ref="L49:M49"/>
    <mergeCell ref="N49:O49"/>
    <mergeCell ref="C50:K50"/>
    <mergeCell ref="L50:M50"/>
    <mergeCell ref="N50:O50"/>
    <mergeCell ref="B45:P45"/>
    <mergeCell ref="C46:K46"/>
    <mergeCell ref="L46:M46"/>
    <mergeCell ref="N46:O46"/>
    <mergeCell ref="C47:K47"/>
    <mergeCell ref="L47:M47"/>
    <mergeCell ref="N47:O47"/>
    <mergeCell ref="C48:K48"/>
    <mergeCell ref="L48:M48"/>
    <mergeCell ref="N48:O48"/>
    <mergeCell ref="C42:K42"/>
    <mergeCell ref="L42:M42"/>
    <mergeCell ref="N42:O42"/>
    <mergeCell ref="C43:K43"/>
    <mergeCell ref="L43:M43"/>
    <mergeCell ref="N43:O43"/>
    <mergeCell ref="C44:K44"/>
    <mergeCell ref="L44:M44"/>
    <mergeCell ref="N44:O44"/>
    <mergeCell ref="C39:K39"/>
    <mergeCell ref="L39:M39"/>
    <mergeCell ref="N39:O39"/>
    <mergeCell ref="C40:K40"/>
    <mergeCell ref="L40:M40"/>
    <mergeCell ref="N40:O40"/>
    <mergeCell ref="C41:K41"/>
    <mergeCell ref="L41:M41"/>
    <mergeCell ref="N41:O41"/>
    <mergeCell ref="C36:K36"/>
    <mergeCell ref="L36:M36"/>
    <mergeCell ref="N36:O36"/>
    <mergeCell ref="C37:K37"/>
    <mergeCell ref="L37:M37"/>
    <mergeCell ref="N37:O37"/>
    <mergeCell ref="C38:K38"/>
    <mergeCell ref="L38:M38"/>
    <mergeCell ref="N38:O38"/>
    <mergeCell ref="C33:K33"/>
    <mergeCell ref="L33:M33"/>
    <mergeCell ref="N33:O33"/>
    <mergeCell ref="C34:K34"/>
    <mergeCell ref="L34:M34"/>
    <mergeCell ref="N34:O34"/>
    <mergeCell ref="C35:K35"/>
    <mergeCell ref="L35:M35"/>
    <mergeCell ref="N35:O35"/>
    <mergeCell ref="C29:K29"/>
    <mergeCell ref="L29:M29"/>
    <mergeCell ref="N29:O29"/>
    <mergeCell ref="B30:P30"/>
    <mergeCell ref="C31:K31"/>
    <mergeCell ref="L31:M31"/>
    <mergeCell ref="N31:O31"/>
    <mergeCell ref="C32:K32"/>
    <mergeCell ref="L32:M32"/>
    <mergeCell ref="N32:O32"/>
    <mergeCell ref="C28:K28"/>
    <mergeCell ref="L28:M28"/>
    <mergeCell ref="N28:O28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2:E22"/>
    <mergeCell ref="B2:V2"/>
    <mergeCell ref="B3:V3"/>
    <mergeCell ref="B4:V4"/>
    <mergeCell ref="P12:Q12"/>
    <mergeCell ref="P14:Q14"/>
    <mergeCell ref="P15:Q15"/>
    <mergeCell ref="P16:Q16"/>
    <mergeCell ref="P13:Q13"/>
    <mergeCell ref="T12:U12"/>
    <mergeCell ref="T14:U14"/>
    <mergeCell ref="T13:U13"/>
    <mergeCell ref="T15:U15"/>
    <mergeCell ref="T16:U16"/>
    <mergeCell ref="T18:U18"/>
    <mergeCell ref="T19:U19"/>
    <mergeCell ref="T20:U20"/>
    <mergeCell ref="T22:U22"/>
    <mergeCell ref="P18:Q18"/>
    <mergeCell ref="P19:Q19"/>
    <mergeCell ref="P20:Q20"/>
    <mergeCell ref="P22:Q22"/>
    <mergeCell ref="R12:S12"/>
    <mergeCell ref="R14:S14"/>
    <mergeCell ref="R13:S13"/>
    <mergeCell ref="R15:S15"/>
    <mergeCell ref="R16:S16"/>
    <mergeCell ref="R18:S18"/>
    <mergeCell ref="R19:S19"/>
    <mergeCell ref="R20:S20"/>
    <mergeCell ref="R22:S22"/>
    <mergeCell ref="P17:Q17"/>
    <mergeCell ref="R17:S17"/>
    <mergeCell ref="T17:U17"/>
    <mergeCell ref="P21:Q21"/>
    <mergeCell ref="R21:S21"/>
    <mergeCell ref="T21:U21"/>
  </mergeCells>
  <pageMargins left="0.25" right="0.25" top="0.75" bottom="0.75" header="0.3" footer="0.3"/>
  <pageSetup paperSize="9" scale="46" fitToWidth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B1:V65"/>
  <sheetViews>
    <sheetView view="pageBreakPreview" topLeftCell="A13" zoomScale="79" zoomScaleNormal="84" zoomScaleSheetLayoutView="79" workbookViewId="0">
      <selection activeCell="L17" sqref="L17"/>
    </sheetView>
  </sheetViews>
  <sheetFormatPr defaultRowHeight="15.75" x14ac:dyDescent="0.25"/>
  <cols>
    <col min="1" max="1" width="3.5703125" style="1" customWidth="1"/>
    <col min="2" max="2" width="3.7109375" style="1" bestFit="1" customWidth="1"/>
    <col min="3" max="3" width="40.140625" style="1" customWidth="1"/>
    <col min="4" max="4" width="13.28515625" style="1" customWidth="1"/>
    <col min="5" max="5" width="11.7109375" style="1" customWidth="1"/>
    <col min="6" max="6" width="11" style="1" customWidth="1"/>
    <col min="7" max="7" width="1.5703125" style="1" hidden="1" customWidth="1"/>
    <col min="8" max="8" width="12.5703125" style="1" hidden="1" customWidth="1"/>
    <col min="9" max="9" width="1.5703125" style="1" customWidth="1"/>
    <col min="10" max="10" width="11.85546875" style="1" customWidth="1"/>
    <col min="11" max="11" width="2.28515625" style="1" customWidth="1"/>
    <col min="12" max="12" width="13" style="1" customWidth="1"/>
    <col min="13" max="13" width="1.5703125" style="1" customWidth="1"/>
    <col min="14" max="14" width="15.7109375" style="1" customWidth="1"/>
    <col min="15" max="15" width="1.7109375" style="1" customWidth="1"/>
    <col min="16" max="16" width="12" style="1" customWidth="1"/>
    <col min="17" max="17" width="10.28515625" style="1" customWidth="1"/>
    <col min="18" max="18" width="11.28515625" style="1" customWidth="1"/>
    <col min="19" max="19" width="10.28515625" style="1" customWidth="1"/>
    <col min="20" max="20" width="15.28515625" style="1" customWidth="1"/>
    <col min="21" max="21" width="10.85546875" style="1" customWidth="1"/>
    <col min="22" max="22" width="11" style="1" customWidth="1"/>
    <col min="23" max="16384" width="9.140625" style="1"/>
  </cols>
  <sheetData>
    <row r="1" spans="2:22" ht="16.5" thickBot="1" x14ac:dyDescent="0.3"/>
    <row r="2" spans="2:22" x14ac:dyDescent="0.25">
      <c r="B2" s="63" t="s">
        <v>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5"/>
    </row>
    <row r="3" spans="2:22" x14ac:dyDescent="0.25">
      <c r="B3" s="66" t="str">
        <f>'1'!B3:V3</f>
        <v>с 1.01.2016 по 31.12.2016 г.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/>
    </row>
    <row r="4" spans="2:22" ht="16.5" thickBot="1" x14ac:dyDescent="0.3">
      <c r="B4" s="69" t="s">
        <v>32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1"/>
    </row>
    <row r="5" spans="2:22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2:22" x14ac:dyDescent="0.25">
      <c r="C6" s="29" t="s">
        <v>55</v>
      </c>
    </row>
    <row r="8" spans="2:22" x14ac:dyDescent="0.25">
      <c r="C8" s="1" t="s">
        <v>33</v>
      </c>
      <c r="D8" s="2">
        <v>718</v>
      </c>
    </row>
    <row r="9" spans="2:22" x14ac:dyDescent="0.25">
      <c r="C9" s="1" t="s">
        <v>35</v>
      </c>
      <c r="D9" s="3">
        <v>50</v>
      </c>
    </row>
    <row r="10" spans="2:22" x14ac:dyDescent="0.25">
      <c r="C10" s="1" t="s">
        <v>36</v>
      </c>
      <c r="D10" s="3">
        <v>16</v>
      </c>
    </row>
    <row r="12" spans="2:22" ht="47.25" x14ac:dyDescent="0.25">
      <c r="C12" s="27" t="s">
        <v>1</v>
      </c>
      <c r="D12" s="59" t="str">
        <f>'1'!D12:E12</f>
        <v>Содержание общего имущества дома</v>
      </c>
      <c r="E12" s="60"/>
      <c r="F12" s="27" t="s">
        <v>8</v>
      </c>
      <c r="G12" s="7"/>
      <c r="H12" s="27" t="s">
        <v>9</v>
      </c>
      <c r="I12" s="7"/>
      <c r="J12" s="28" t="str">
        <f>'1'!J12</f>
        <v>Вывоз ТБО (руб./чел.)</v>
      </c>
      <c r="K12" s="7"/>
      <c r="L12" s="28" t="s">
        <v>67</v>
      </c>
      <c r="M12" s="7"/>
      <c r="N12" s="28" t="str">
        <f>'1'!N12</f>
        <v>Обслуживание антены (руб./лиц.сч.)</v>
      </c>
      <c r="O12" s="8"/>
      <c r="P12" s="59" t="str">
        <f>'1'!P12</f>
        <v xml:space="preserve">Хол. вода </v>
      </c>
      <c r="Q12" s="60"/>
      <c r="R12" s="59" t="str">
        <f>'1'!R12</f>
        <v xml:space="preserve">Гор. вода </v>
      </c>
      <c r="S12" s="60"/>
      <c r="T12" s="59" t="str">
        <f>'1'!T12</f>
        <v>Канализация</v>
      </c>
      <c r="U12" s="60"/>
      <c r="V12" s="27" t="s">
        <v>10</v>
      </c>
    </row>
    <row r="13" spans="2:22" x14ac:dyDescent="0.25">
      <c r="C13" s="9" t="s">
        <v>2</v>
      </c>
      <c r="D13" s="57"/>
      <c r="E13" s="58"/>
      <c r="F13" s="11"/>
      <c r="G13" s="7"/>
      <c r="H13" s="11"/>
      <c r="I13" s="7"/>
      <c r="J13" s="11"/>
      <c r="K13" s="7"/>
      <c r="L13" s="11"/>
      <c r="M13" s="7"/>
      <c r="N13" s="11"/>
      <c r="O13" s="7"/>
      <c r="P13" s="57"/>
      <c r="Q13" s="58"/>
      <c r="R13" s="57"/>
      <c r="S13" s="58"/>
      <c r="T13" s="57"/>
      <c r="U13" s="58"/>
      <c r="V13" s="30">
        <f>V14</f>
        <v>-108131.78999999998</v>
      </c>
    </row>
    <row r="14" spans="2:22" ht="47.25" x14ac:dyDescent="0.25">
      <c r="C14" s="10" t="str">
        <f>'1'!C14</f>
        <v>Остаток с предыдущего периода (задолженность(-), переплата (+)) на 01.01.2016г.</v>
      </c>
      <c r="D14" s="57"/>
      <c r="E14" s="58"/>
      <c r="F14" s="11">
        <v>-22510.53</v>
      </c>
      <c r="G14" s="7"/>
      <c r="H14" s="11">
        <v>0</v>
      </c>
      <c r="I14" s="7"/>
      <c r="J14" s="11">
        <v>-3218.38</v>
      </c>
      <c r="K14" s="7"/>
      <c r="L14" s="11">
        <v>-58268.74</v>
      </c>
      <c r="M14" s="7"/>
      <c r="N14" s="11">
        <v>-1679.34</v>
      </c>
      <c r="O14" s="7"/>
      <c r="P14" s="57">
        <v>-2588.5300000000002</v>
      </c>
      <c r="Q14" s="58"/>
      <c r="R14" s="57">
        <v>-13564.12</v>
      </c>
      <c r="S14" s="58"/>
      <c r="T14" s="57">
        <v>-6302.15</v>
      </c>
      <c r="U14" s="58"/>
      <c r="V14" s="14">
        <f>F14+H14+J14+L14+N14+P14+Q14+R14+S14+T14+U14</f>
        <v>-108131.78999999998</v>
      </c>
    </row>
    <row r="15" spans="2:22" x14ac:dyDescent="0.25">
      <c r="C15" s="9" t="s">
        <v>3</v>
      </c>
      <c r="D15" s="57"/>
      <c r="E15" s="58"/>
      <c r="F15" s="11">
        <v>119058.24000000001</v>
      </c>
      <c r="G15" s="7"/>
      <c r="H15" s="14"/>
      <c r="I15" s="7"/>
      <c r="J15" s="14">
        <v>20743.560000000001</v>
      </c>
      <c r="K15" s="7"/>
      <c r="L15" s="11">
        <v>341370.24</v>
      </c>
      <c r="M15" s="7"/>
      <c r="N15" s="11">
        <v>7800</v>
      </c>
      <c r="O15" s="7"/>
      <c r="P15" s="61">
        <f>17742.22+402.49</f>
        <v>18144.710000000003</v>
      </c>
      <c r="Q15" s="62"/>
      <c r="R15" s="61">
        <f>95786.89+1712.96</f>
        <v>97499.85</v>
      </c>
      <c r="S15" s="62"/>
      <c r="T15" s="61">
        <f>22037.29+18044.44</f>
        <v>40081.729999999996</v>
      </c>
      <c r="U15" s="62"/>
      <c r="V15" s="11">
        <f>F15+H15+J15+L15+N15+P15+Q15+R15+S15+T15+U15</f>
        <v>644698.33000000007</v>
      </c>
    </row>
    <row r="16" spans="2:22" x14ac:dyDescent="0.25">
      <c r="C16" s="9" t="s">
        <v>4</v>
      </c>
      <c r="D16" s="57"/>
      <c r="E16" s="58"/>
      <c r="F16" s="11">
        <v>115080.65</v>
      </c>
      <c r="G16" s="7"/>
      <c r="H16" s="14"/>
      <c r="I16" s="7"/>
      <c r="J16" s="14">
        <v>19834.02</v>
      </c>
      <c r="K16" s="7"/>
      <c r="L16" s="11">
        <v>328616.28000000003</v>
      </c>
      <c r="M16" s="7"/>
      <c r="N16" s="14">
        <v>7494.37</v>
      </c>
      <c r="O16" s="7"/>
      <c r="P16" s="61">
        <f>16679.77+184.93</f>
        <v>16864.7</v>
      </c>
      <c r="Q16" s="62"/>
      <c r="R16" s="61">
        <f>91419.38+745.57</f>
        <v>92164.950000000012</v>
      </c>
      <c r="S16" s="62"/>
      <c r="T16" s="61">
        <f>21385.72+16965.74</f>
        <v>38351.460000000006</v>
      </c>
      <c r="U16" s="62"/>
      <c r="V16" s="12">
        <f t="shared" ref="V16:V17" si="0">F16+H16+J16+L16+N16+P16+Q16+R16+S16+T16+U16</f>
        <v>618406.42999999993</v>
      </c>
    </row>
    <row r="17" spans="2:22" ht="31.5" x14ac:dyDescent="0.25">
      <c r="C17" s="10" t="s">
        <v>5</v>
      </c>
      <c r="D17" s="57"/>
      <c r="E17" s="58"/>
      <c r="F17" s="14">
        <f>P44+P50</f>
        <v>144819.8483976</v>
      </c>
      <c r="G17" s="7"/>
      <c r="H17" s="11">
        <f>P52</f>
        <v>0</v>
      </c>
      <c r="I17" s="7"/>
      <c r="J17" s="14">
        <f>J15+18637.28</f>
        <v>39380.839999999997</v>
      </c>
      <c r="K17" s="7"/>
      <c r="L17" s="11">
        <f>(D8*L20*6)+(D8*L21*6)</f>
        <v>347310.95999999996</v>
      </c>
      <c r="M17" s="7"/>
      <c r="N17" s="14">
        <f>'1'!N17</f>
        <v>11336.326999999999</v>
      </c>
      <c r="O17" s="7"/>
      <c r="P17" s="61">
        <f>P15+Q15+114670.71</f>
        <v>132815.42000000001</v>
      </c>
      <c r="Q17" s="62"/>
      <c r="R17" s="61">
        <f>R15+S15</f>
        <v>97499.85</v>
      </c>
      <c r="S17" s="62"/>
      <c r="T17" s="61">
        <f>T15+U15</f>
        <v>40081.729999999996</v>
      </c>
      <c r="U17" s="62"/>
      <c r="V17" s="12">
        <f t="shared" si="0"/>
        <v>813244.97539759998</v>
      </c>
    </row>
    <row r="18" spans="2:22" ht="31.5" x14ac:dyDescent="0.25">
      <c r="C18" s="10" t="str">
        <f>'1'!C18</f>
        <v>Текущий остаток (задолженность (-), переплата (+)) на 31.12.2016 г.</v>
      </c>
      <c r="D18" s="57"/>
      <c r="E18" s="58"/>
      <c r="F18" s="31">
        <f>F16-F15+F14</f>
        <v>-26488.12000000001</v>
      </c>
      <c r="G18" s="40"/>
      <c r="H18" s="31">
        <f>H16-H15+H14</f>
        <v>0</v>
      </c>
      <c r="I18" s="40"/>
      <c r="J18" s="31">
        <f>J16-J15+J14</f>
        <v>-4127.920000000001</v>
      </c>
      <c r="K18" s="40"/>
      <c r="L18" s="31">
        <f>L16-L15+L14</f>
        <v>-71022.699999999953</v>
      </c>
      <c r="M18" s="40"/>
      <c r="N18" s="31">
        <f>N16-N15+N14</f>
        <v>-1984.97</v>
      </c>
      <c r="O18" s="40"/>
      <c r="P18" s="55">
        <f>P16-P15+P14</f>
        <v>-3868.5400000000022</v>
      </c>
      <c r="Q18" s="56"/>
      <c r="R18" s="55">
        <f t="shared" ref="R18:V18" si="1">R16-R15+R14</f>
        <v>-18899.019999999997</v>
      </c>
      <c r="S18" s="56"/>
      <c r="T18" s="55">
        <f t="shared" si="1"/>
        <v>-8032.4199999999892</v>
      </c>
      <c r="U18" s="56"/>
      <c r="V18" s="31">
        <f t="shared" si="1"/>
        <v>-134423.69000000012</v>
      </c>
    </row>
    <row r="19" spans="2:22" x14ac:dyDescent="0.25">
      <c r="C19" s="9" t="s">
        <v>6</v>
      </c>
      <c r="D19" s="57"/>
      <c r="E19" s="58"/>
      <c r="F19" s="11"/>
      <c r="G19" s="7"/>
      <c r="H19" s="11"/>
      <c r="I19" s="7"/>
      <c r="J19" s="11"/>
      <c r="K19" s="7"/>
      <c r="L19" s="11"/>
      <c r="M19" s="7"/>
      <c r="N19" s="11"/>
      <c r="O19" s="7"/>
      <c r="P19" s="57"/>
      <c r="Q19" s="58"/>
      <c r="R19" s="57"/>
      <c r="S19" s="58"/>
      <c r="T19" s="57"/>
      <c r="U19" s="58"/>
      <c r="V19" s="30">
        <f>F18+H18+J18+L18+N18+P18+Q18+R18+S18+T18+U18</f>
        <v>-134423.68999999994</v>
      </c>
    </row>
    <row r="20" spans="2:22" x14ac:dyDescent="0.25">
      <c r="C20" s="9" t="str">
        <f>'1'!C20</f>
        <v>Тариф (руб/м²), 1-е полугодие</v>
      </c>
      <c r="D20" s="57"/>
      <c r="E20" s="58"/>
      <c r="F20" s="13">
        <f>'1'!F20</f>
        <v>15.31</v>
      </c>
      <c r="G20" s="7"/>
      <c r="H20" s="11">
        <f>'1'!H20</f>
        <v>37.700000000000003</v>
      </c>
      <c r="I20" s="7"/>
      <c r="J20" s="13">
        <f>'1'!J20</f>
        <v>44.32</v>
      </c>
      <c r="K20" s="7"/>
      <c r="L20" s="11">
        <v>39.74</v>
      </c>
      <c r="M20" s="7"/>
      <c r="N20" s="11">
        <f>'1'!N20</f>
        <v>50</v>
      </c>
      <c r="O20" s="7"/>
      <c r="P20" s="57" t="str">
        <f>'1'!P20</f>
        <v xml:space="preserve">15,02 руб./м3 </v>
      </c>
      <c r="Q20" s="58"/>
      <c r="R20" s="57" t="str">
        <f>'1'!R20</f>
        <v>99,55 руб./м3</v>
      </c>
      <c r="S20" s="58"/>
      <c r="T20" s="57" t="str">
        <f>'1'!T20</f>
        <v>18,66 руб./м3</v>
      </c>
      <c r="U20" s="58"/>
      <c r="V20" s="11"/>
    </row>
    <row r="21" spans="2:22" x14ac:dyDescent="0.25">
      <c r="C21" s="9" t="str">
        <f>'1'!C21</f>
        <v>Тариф (руб/м²), 2-е полугодие</v>
      </c>
      <c r="D21" s="50"/>
      <c r="E21" s="51"/>
      <c r="F21" s="21">
        <f>'1'!F21</f>
        <v>15.31</v>
      </c>
      <c r="G21" s="7"/>
      <c r="H21" s="21"/>
      <c r="I21" s="7"/>
      <c r="J21" s="21">
        <f>'1'!J21</f>
        <v>44.32</v>
      </c>
      <c r="K21" s="7"/>
      <c r="L21" s="21">
        <f>'12'!L21</f>
        <v>40.880000000000003</v>
      </c>
      <c r="M21" s="7"/>
      <c r="N21" s="21">
        <f>'1'!N21</f>
        <v>50</v>
      </c>
      <c r="O21" s="7"/>
      <c r="P21" s="57" t="str">
        <f>'1'!P21:Q21</f>
        <v>15,63 руб./м³</v>
      </c>
      <c r="Q21" s="58"/>
      <c r="R21" s="57" t="str">
        <f>'1'!R21:S21</f>
        <v>102,59 руб./м³</v>
      </c>
      <c r="S21" s="58"/>
      <c r="T21" s="57" t="str">
        <f>'1'!T21:U21</f>
        <v>19,41 руб./м³</v>
      </c>
      <c r="U21" s="58"/>
      <c r="V21" s="21"/>
    </row>
    <row r="22" spans="2:22" x14ac:dyDescent="0.25">
      <c r="C22" s="9" t="s">
        <v>44</v>
      </c>
      <c r="D22" s="57"/>
      <c r="E22" s="58"/>
      <c r="F22" s="18">
        <f>N44+N50</f>
        <v>16.808246099999998</v>
      </c>
      <c r="G22" s="7"/>
      <c r="H22" s="11"/>
      <c r="I22" s="7"/>
      <c r="J22" s="11"/>
      <c r="K22" s="7"/>
      <c r="L22" s="11"/>
      <c r="M22" s="7"/>
      <c r="N22" s="11"/>
      <c r="O22" s="7"/>
      <c r="P22" s="57"/>
      <c r="Q22" s="58"/>
      <c r="R22" s="57"/>
      <c r="S22" s="58"/>
      <c r="T22" s="57"/>
      <c r="U22" s="58"/>
      <c r="V22" s="11"/>
    </row>
    <row r="24" spans="2:22" x14ac:dyDescent="0.25">
      <c r="C24" s="5" t="s">
        <v>11</v>
      </c>
    </row>
    <row r="25" spans="2:22" x14ac:dyDescent="0.25">
      <c r="C25" s="1" t="s">
        <v>12</v>
      </c>
      <c r="J25" s="34">
        <f>V19/V15*100</f>
        <v>-20.850634125265987</v>
      </c>
      <c r="K25" s="35" t="s">
        <v>37</v>
      </c>
    </row>
    <row r="28" spans="2:22" ht="33" customHeight="1" x14ac:dyDescent="0.25">
      <c r="B28" s="27" t="s">
        <v>13</v>
      </c>
      <c r="C28" s="72" t="s">
        <v>14</v>
      </c>
      <c r="D28" s="72"/>
      <c r="E28" s="72"/>
      <c r="F28" s="72"/>
      <c r="G28" s="72"/>
      <c r="H28" s="72"/>
      <c r="I28" s="72"/>
      <c r="J28" s="72"/>
      <c r="K28" s="72"/>
      <c r="L28" s="73" t="s">
        <v>45</v>
      </c>
      <c r="M28" s="73"/>
      <c r="N28" s="73" t="s">
        <v>46</v>
      </c>
      <c r="O28" s="73"/>
      <c r="P28" s="27" t="s">
        <v>28</v>
      </c>
    </row>
    <row r="29" spans="2:22" x14ac:dyDescent="0.25">
      <c r="B29" s="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4"/>
    </row>
    <row r="30" spans="2:22" x14ac:dyDescent="0.25">
      <c r="B30" s="90" t="s">
        <v>7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</row>
    <row r="31" spans="2:22" x14ac:dyDescent="0.25">
      <c r="B31" s="4">
        <v>1</v>
      </c>
      <c r="C31" s="76" t="s">
        <v>15</v>
      </c>
      <c r="D31" s="76"/>
      <c r="E31" s="76"/>
      <c r="F31" s="76"/>
      <c r="G31" s="76"/>
      <c r="H31" s="76"/>
      <c r="I31" s="76"/>
      <c r="J31" s="76"/>
      <c r="K31" s="76"/>
      <c r="L31" s="74">
        <v>718</v>
      </c>
      <c r="M31" s="74"/>
      <c r="N31" s="77">
        <f>'1'!N31:O31</f>
        <v>3.5</v>
      </c>
      <c r="O31" s="77"/>
      <c r="P31" s="17">
        <f>L31*N31*12</f>
        <v>30156</v>
      </c>
    </row>
    <row r="32" spans="2:22" x14ac:dyDescent="0.25">
      <c r="B32" s="4">
        <v>2</v>
      </c>
      <c r="C32" s="76" t="s">
        <v>34</v>
      </c>
      <c r="D32" s="76"/>
      <c r="E32" s="76"/>
      <c r="F32" s="76"/>
      <c r="G32" s="76"/>
      <c r="H32" s="76"/>
      <c r="I32" s="76"/>
      <c r="J32" s="76"/>
      <c r="K32" s="76"/>
      <c r="L32" s="74">
        <v>718</v>
      </c>
      <c r="M32" s="74"/>
      <c r="N32" s="77">
        <f>'1'!N32:O32</f>
        <v>0.98752150000000005</v>
      </c>
      <c r="O32" s="77"/>
      <c r="P32" s="17">
        <f t="shared" ref="P32:P43" si="2">L32*N32*12</f>
        <v>8508.4852439999995</v>
      </c>
    </row>
    <row r="33" spans="2:16" x14ac:dyDescent="0.25">
      <c r="B33" s="4">
        <v>3</v>
      </c>
      <c r="C33" s="76" t="s">
        <v>16</v>
      </c>
      <c r="D33" s="76"/>
      <c r="E33" s="76"/>
      <c r="F33" s="76"/>
      <c r="G33" s="76"/>
      <c r="H33" s="76"/>
      <c r="I33" s="76"/>
      <c r="J33" s="76"/>
      <c r="K33" s="76"/>
      <c r="L33" s="74">
        <v>718</v>
      </c>
      <c r="M33" s="74"/>
      <c r="N33" s="77">
        <f>'1'!N33:O33</f>
        <v>2.8257476000000001</v>
      </c>
      <c r="O33" s="77"/>
      <c r="P33" s="17">
        <f t="shared" si="2"/>
        <v>24346.6413216</v>
      </c>
    </row>
    <row r="34" spans="2:16" x14ac:dyDescent="0.25">
      <c r="B34" s="4">
        <v>4</v>
      </c>
      <c r="C34" s="76" t="s">
        <v>17</v>
      </c>
      <c r="D34" s="76"/>
      <c r="E34" s="76"/>
      <c r="F34" s="76"/>
      <c r="G34" s="76"/>
      <c r="H34" s="76"/>
      <c r="I34" s="76"/>
      <c r="J34" s="76"/>
      <c r="K34" s="76"/>
      <c r="L34" s="74">
        <v>718</v>
      </c>
      <c r="M34" s="74"/>
      <c r="N34" s="77">
        <f>'1'!N34:O34</f>
        <v>1</v>
      </c>
      <c r="O34" s="77"/>
      <c r="P34" s="17">
        <f t="shared" si="2"/>
        <v>8616</v>
      </c>
    </row>
    <row r="35" spans="2:16" x14ac:dyDescent="0.25">
      <c r="B35" s="4">
        <v>5</v>
      </c>
      <c r="C35" s="76" t="s">
        <v>18</v>
      </c>
      <c r="D35" s="76"/>
      <c r="E35" s="76"/>
      <c r="F35" s="76"/>
      <c r="G35" s="76"/>
      <c r="H35" s="76"/>
      <c r="I35" s="76"/>
      <c r="J35" s="76"/>
      <c r="K35" s="76"/>
      <c r="L35" s="74">
        <v>718</v>
      </c>
      <c r="M35" s="74"/>
      <c r="N35" s="77">
        <f>'1'!N35:O35</f>
        <v>2</v>
      </c>
      <c r="O35" s="77"/>
      <c r="P35" s="17">
        <f t="shared" si="2"/>
        <v>17232</v>
      </c>
    </row>
    <row r="36" spans="2:16" x14ac:dyDescent="0.25">
      <c r="B36" s="4">
        <v>6</v>
      </c>
      <c r="C36" s="76" t="s">
        <v>24</v>
      </c>
      <c r="D36" s="76"/>
      <c r="E36" s="76"/>
      <c r="F36" s="76"/>
      <c r="G36" s="76"/>
      <c r="H36" s="76"/>
      <c r="I36" s="76"/>
      <c r="J36" s="76"/>
      <c r="K36" s="76"/>
      <c r="L36" s="74">
        <v>718</v>
      </c>
      <c r="M36" s="74"/>
      <c r="N36" s="77">
        <f>'1'!N36:O36</f>
        <v>3</v>
      </c>
      <c r="O36" s="77"/>
      <c r="P36" s="17">
        <f t="shared" si="2"/>
        <v>25848</v>
      </c>
    </row>
    <row r="37" spans="2:16" x14ac:dyDescent="0.25">
      <c r="B37" s="4">
        <v>7</v>
      </c>
      <c r="C37" s="76" t="s">
        <v>19</v>
      </c>
      <c r="D37" s="76"/>
      <c r="E37" s="76"/>
      <c r="F37" s="76"/>
      <c r="G37" s="76"/>
      <c r="H37" s="76"/>
      <c r="I37" s="76"/>
      <c r="J37" s="76"/>
      <c r="K37" s="76"/>
      <c r="L37" s="74">
        <v>718</v>
      </c>
      <c r="M37" s="74"/>
      <c r="N37" s="77">
        <f>'1'!N37:O37</f>
        <v>0.5</v>
      </c>
      <c r="O37" s="77"/>
      <c r="P37" s="17">
        <f t="shared" si="2"/>
        <v>4308</v>
      </c>
    </row>
    <row r="38" spans="2:16" x14ac:dyDescent="0.25">
      <c r="B38" s="4">
        <v>8</v>
      </c>
      <c r="C38" s="76" t="s">
        <v>20</v>
      </c>
      <c r="D38" s="76"/>
      <c r="E38" s="76"/>
      <c r="F38" s="76"/>
      <c r="G38" s="76"/>
      <c r="H38" s="76"/>
      <c r="I38" s="76"/>
      <c r="J38" s="76"/>
      <c r="K38" s="76"/>
      <c r="L38" s="74">
        <v>718</v>
      </c>
      <c r="M38" s="74"/>
      <c r="N38" s="77">
        <f>'1'!N38:O38</f>
        <v>1.694977</v>
      </c>
      <c r="O38" s="77"/>
      <c r="P38" s="17">
        <f t="shared" si="2"/>
        <v>14603.921832</v>
      </c>
    </row>
    <row r="39" spans="2:16" x14ac:dyDescent="0.25">
      <c r="B39" s="4">
        <v>9</v>
      </c>
      <c r="C39" s="76" t="s">
        <v>84</v>
      </c>
      <c r="D39" s="76"/>
      <c r="E39" s="76"/>
      <c r="F39" s="76"/>
      <c r="G39" s="76"/>
      <c r="H39" s="76"/>
      <c r="I39" s="76"/>
      <c r="J39" s="76"/>
      <c r="K39" s="76"/>
      <c r="L39" s="74">
        <v>718</v>
      </c>
      <c r="M39" s="74"/>
      <c r="N39" s="77">
        <f>'1'!N39:O39</f>
        <v>0.1</v>
      </c>
      <c r="O39" s="77"/>
      <c r="P39" s="17">
        <f t="shared" si="2"/>
        <v>861.59999999999991</v>
      </c>
    </row>
    <row r="40" spans="2:16" x14ac:dyDescent="0.25">
      <c r="B40" s="4">
        <v>10</v>
      </c>
      <c r="C40" s="76" t="s">
        <v>21</v>
      </c>
      <c r="D40" s="76"/>
      <c r="E40" s="76"/>
      <c r="F40" s="76"/>
      <c r="G40" s="76"/>
      <c r="H40" s="76"/>
      <c r="I40" s="76"/>
      <c r="J40" s="76"/>
      <c r="K40" s="76"/>
      <c r="L40" s="74">
        <v>718</v>
      </c>
      <c r="M40" s="74"/>
      <c r="N40" s="77">
        <f>'1'!N40:O40</f>
        <v>0.2</v>
      </c>
      <c r="O40" s="77"/>
      <c r="P40" s="17">
        <f t="shared" si="2"/>
        <v>1723.1999999999998</v>
      </c>
    </row>
    <row r="41" spans="2:16" x14ac:dyDescent="0.25">
      <c r="B41" s="4">
        <v>11</v>
      </c>
      <c r="C41" s="76" t="s">
        <v>22</v>
      </c>
      <c r="D41" s="76"/>
      <c r="E41" s="76"/>
      <c r="F41" s="76"/>
      <c r="G41" s="76"/>
      <c r="H41" s="76"/>
      <c r="I41" s="76"/>
      <c r="J41" s="76"/>
      <c r="K41" s="76"/>
      <c r="L41" s="74">
        <v>718</v>
      </c>
      <c r="M41" s="74"/>
      <c r="N41" s="77">
        <f>'1'!N41:O41</f>
        <v>0.5</v>
      </c>
      <c r="O41" s="77"/>
      <c r="P41" s="17">
        <f t="shared" si="2"/>
        <v>4308</v>
      </c>
    </row>
    <row r="42" spans="2:16" hidden="1" x14ac:dyDescent="0.25">
      <c r="B42" s="4">
        <v>12</v>
      </c>
      <c r="C42" s="76" t="s">
        <v>23</v>
      </c>
      <c r="D42" s="76"/>
      <c r="E42" s="76"/>
      <c r="F42" s="76"/>
      <c r="G42" s="76"/>
      <c r="H42" s="76"/>
      <c r="I42" s="76"/>
      <c r="J42" s="76"/>
      <c r="K42" s="76"/>
      <c r="L42" s="74">
        <v>718</v>
      </c>
      <c r="M42" s="74"/>
      <c r="N42" s="77">
        <f>'1'!N42:O42</f>
        <v>0</v>
      </c>
      <c r="O42" s="77"/>
      <c r="P42" s="17">
        <f t="shared" si="2"/>
        <v>0</v>
      </c>
    </row>
    <row r="43" spans="2:16" x14ac:dyDescent="0.25">
      <c r="B43" s="4">
        <v>12</v>
      </c>
      <c r="C43" s="76" t="s">
        <v>25</v>
      </c>
      <c r="D43" s="76"/>
      <c r="E43" s="76"/>
      <c r="F43" s="76"/>
      <c r="G43" s="76"/>
      <c r="H43" s="76"/>
      <c r="I43" s="76"/>
      <c r="J43" s="76"/>
      <c r="K43" s="76"/>
      <c r="L43" s="74">
        <v>718</v>
      </c>
      <c r="M43" s="74"/>
      <c r="N43" s="77">
        <f>'1'!N43:O43</f>
        <v>0.5</v>
      </c>
      <c r="O43" s="77"/>
      <c r="P43" s="17">
        <f t="shared" si="2"/>
        <v>4308</v>
      </c>
    </row>
    <row r="44" spans="2:16" x14ac:dyDescent="0.25">
      <c r="B44" s="38"/>
      <c r="C44" s="78" t="s">
        <v>26</v>
      </c>
      <c r="D44" s="78"/>
      <c r="E44" s="78"/>
      <c r="F44" s="78"/>
      <c r="G44" s="78"/>
      <c r="H44" s="78"/>
      <c r="I44" s="78"/>
      <c r="J44" s="78"/>
      <c r="K44" s="78"/>
      <c r="L44" s="79">
        <v>718</v>
      </c>
      <c r="M44" s="79"/>
      <c r="N44" s="91">
        <f>SUM(N31:O43)</f>
        <v>16.808246099999998</v>
      </c>
      <c r="O44" s="91"/>
      <c r="P44" s="39">
        <f>SUM(P31:P43)</f>
        <v>144819.8483976</v>
      </c>
    </row>
    <row r="45" spans="2:16" hidden="1" x14ac:dyDescent="0.25">
      <c r="B45" s="90" t="s">
        <v>27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</row>
    <row r="46" spans="2:16" hidden="1" x14ac:dyDescent="0.25">
      <c r="B46" s="4">
        <v>1</v>
      </c>
      <c r="C46" s="82" t="s">
        <v>73</v>
      </c>
      <c r="D46" s="83"/>
      <c r="E46" s="83"/>
      <c r="F46" s="83"/>
      <c r="G46" s="83"/>
      <c r="H46" s="83"/>
      <c r="I46" s="83"/>
      <c r="J46" s="83"/>
      <c r="K46" s="84"/>
      <c r="L46" s="74">
        <v>718</v>
      </c>
      <c r="M46" s="74"/>
      <c r="N46" s="74"/>
      <c r="O46" s="74"/>
      <c r="P46" s="17">
        <f>L46*N46*6</f>
        <v>0</v>
      </c>
    </row>
    <row r="47" spans="2:16" hidden="1" x14ac:dyDescent="0.25">
      <c r="B47" s="4">
        <v>2</v>
      </c>
      <c r="C47" s="82" t="s">
        <v>74</v>
      </c>
      <c r="D47" s="83"/>
      <c r="E47" s="83"/>
      <c r="F47" s="83"/>
      <c r="G47" s="83"/>
      <c r="H47" s="83"/>
      <c r="I47" s="83"/>
      <c r="J47" s="83"/>
      <c r="K47" s="84"/>
      <c r="L47" s="74">
        <v>718</v>
      </c>
      <c r="M47" s="74"/>
      <c r="N47" s="74"/>
      <c r="O47" s="74"/>
      <c r="P47" s="17">
        <f>L47*N47*6</f>
        <v>0</v>
      </c>
    </row>
    <row r="48" spans="2:16" hidden="1" x14ac:dyDescent="0.25">
      <c r="B48" s="4">
        <v>3</v>
      </c>
      <c r="C48" s="82" t="s">
        <v>92</v>
      </c>
      <c r="D48" s="83"/>
      <c r="E48" s="83"/>
      <c r="F48" s="83"/>
      <c r="G48" s="83"/>
      <c r="H48" s="83"/>
      <c r="I48" s="83"/>
      <c r="J48" s="83"/>
      <c r="K48" s="84"/>
      <c r="L48" s="74">
        <v>718</v>
      </c>
      <c r="M48" s="74"/>
      <c r="N48" s="77"/>
      <c r="O48" s="77"/>
      <c r="P48" s="17"/>
    </row>
    <row r="49" spans="2:16" hidden="1" x14ac:dyDescent="0.25">
      <c r="B49" s="4">
        <v>4</v>
      </c>
      <c r="C49" s="74"/>
      <c r="D49" s="74"/>
      <c r="E49" s="74"/>
      <c r="F49" s="74"/>
      <c r="G49" s="74"/>
      <c r="H49" s="74"/>
      <c r="I49" s="74"/>
      <c r="J49" s="74"/>
      <c r="K49" s="74"/>
      <c r="L49" s="74">
        <v>718</v>
      </c>
      <c r="M49" s="74"/>
      <c r="N49" s="77"/>
      <c r="O49" s="77"/>
      <c r="P49" s="17"/>
    </row>
    <row r="50" spans="2:16" hidden="1" x14ac:dyDescent="0.25">
      <c r="B50" s="38"/>
      <c r="C50" s="86" t="s">
        <v>29</v>
      </c>
      <c r="D50" s="87"/>
      <c r="E50" s="87"/>
      <c r="F50" s="87"/>
      <c r="G50" s="87"/>
      <c r="H50" s="87"/>
      <c r="I50" s="87"/>
      <c r="J50" s="87"/>
      <c r="K50" s="88"/>
      <c r="L50" s="79">
        <v>718</v>
      </c>
      <c r="M50" s="79"/>
      <c r="N50" s="91">
        <f>SUM(N46:O49)</f>
        <v>0</v>
      </c>
      <c r="O50" s="91"/>
      <c r="P50" s="39">
        <f>SUM(P46:P49)</f>
        <v>0</v>
      </c>
    </row>
    <row r="51" spans="2:16" hidden="1" x14ac:dyDescent="0.25">
      <c r="B51" s="90" t="s">
        <v>30</v>
      </c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</row>
    <row r="52" spans="2:16" hidden="1" x14ac:dyDescent="0.25">
      <c r="B52" s="38"/>
      <c r="C52" s="86" t="s">
        <v>31</v>
      </c>
      <c r="D52" s="87"/>
      <c r="E52" s="87"/>
      <c r="F52" s="87"/>
      <c r="G52" s="87"/>
      <c r="H52" s="87"/>
      <c r="I52" s="87"/>
      <c r="J52" s="87"/>
      <c r="K52" s="88"/>
      <c r="L52" s="79">
        <v>718</v>
      </c>
      <c r="M52" s="79"/>
      <c r="N52" s="79">
        <v>0</v>
      </c>
      <c r="O52" s="79"/>
      <c r="P52" s="38">
        <v>0</v>
      </c>
    </row>
    <row r="55" spans="2:16" x14ac:dyDescent="0.25">
      <c r="C55" s="1" t="s">
        <v>38</v>
      </c>
    </row>
    <row r="56" spans="2:16" x14ac:dyDescent="0.25">
      <c r="C56" s="1" t="s">
        <v>39</v>
      </c>
    </row>
    <row r="57" spans="2:16" x14ac:dyDescent="0.25">
      <c r="C57" s="4" t="s">
        <v>93</v>
      </c>
      <c r="D57" s="22">
        <f>N44</f>
        <v>16.808246099999998</v>
      </c>
    </row>
    <row r="60" spans="2:16" x14ac:dyDescent="0.25">
      <c r="C60" s="1" t="s">
        <v>40</v>
      </c>
      <c r="D60" s="2"/>
      <c r="E60" s="2"/>
      <c r="F60" s="2"/>
      <c r="G60" s="2"/>
      <c r="J60" s="1" t="s">
        <v>41</v>
      </c>
    </row>
    <row r="63" spans="2:16" ht="24.75" customHeight="1" x14ac:dyDescent="0.25">
      <c r="C63" s="1" t="s">
        <v>42</v>
      </c>
      <c r="D63" s="2"/>
      <c r="E63" s="2"/>
      <c r="F63" s="1" t="s">
        <v>43</v>
      </c>
    </row>
    <row r="64" spans="2:16" ht="25.5" customHeight="1" x14ac:dyDescent="0.25">
      <c r="D64" s="2"/>
      <c r="E64" s="2"/>
      <c r="F64" s="1" t="s">
        <v>43</v>
      </c>
    </row>
    <row r="65" spans="4:6" ht="24.75" customHeight="1" x14ac:dyDescent="0.25">
      <c r="D65" s="2"/>
      <c r="E65" s="2"/>
      <c r="F65" s="1" t="s">
        <v>43</v>
      </c>
    </row>
  </sheetData>
  <mergeCells count="115">
    <mergeCell ref="B51:P51"/>
    <mergeCell ref="C52:K52"/>
    <mergeCell ref="L52:M52"/>
    <mergeCell ref="N52:O52"/>
    <mergeCell ref="C49:K49"/>
    <mergeCell ref="L49:M49"/>
    <mergeCell ref="N49:O49"/>
    <mergeCell ref="C50:K50"/>
    <mergeCell ref="L50:M50"/>
    <mergeCell ref="N50:O50"/>
    <mergeCell ref="B45:P45"/>
    <mergeCell ref="C46:K46"/>
    <mergeCell ref="L46:M46"/>
    <mergeCell ref="N46:O46"/>
    <mergeCell ref="C47:K47"/>
    <mergeCell ref="L47:M47"/>
    <mergeCell ref="N47:O47"/>
    <mergeCell ref="C48:K48"/>
    <mergeCell ref="L48:M48"/>
    <mergeCell ref="N48:O48"/>
    <mergeCell ref="C42:K42"/>
    <mergeCell ref="L42:M42"/>
    <mergeCell ref="N42:O42"/>
    <mergeCell ref="C43:K43"/>
    <mergeCell ref="L43:M43"/>
    <mergeCell ref="N43:O43"/>
    <mergeCell ref="C44:K44"/>
    <mergeCell ref="L44:M44"/>
    <mergeCell ref="N44:O44"/>
    <mergeCell ref="C39:K39"/>
    <mergeCell ref="L39:M39"/>
    <mergeCell ref="N39:O39"/>
    <mergeCell ref="C40:K40"/>
    <mergeCell ref="L40:M40"/>
    <mergeCell ref="N40:O40"/>
    <mergeCell ref="C41:K41"/>
    <mergeCell ref="L41:M41"/>
    <mergeCell ref="N41:O41"/>
    <mergeCell ref="C36:K36"/>
    <mergeCell ref="L36:M36"/>
    <mergeCell ref="N36:O36"/>
    <mergeCell ref="C37:K37"/>
    <mergeCell ref="L37:M37"/>
    <mergeCell ref="N37:O37"/>
    <mergeCell ref="C38:K38"/>
    <mergeCell ref="L38:M38"/>
    <mergeCell ref="N38:O38"/>
    <mergeCell ref="C33:K33"/>
    <mergeCell ref="L33:M33"/>
    <mergeCell ref="N33:O33"/>
    <mergeCell ref="C34:K34"/>
    <mergeCell ref="L34:M34"/>
    <mergeCell ref="N34:O34"/>
    <mergeCell ref="C35:K35"/>
    <mergeCell ref="L35:M35"/>
    <mergeCell ref="N35:O35"/>
    <mergeCell ref="C29:K29"/>
    <mergeCell ref="L29:M29"/>
    <mergeCell ref="N29:O29"/>
    <mergeCell ref="B30:P30"/>
    <mergeCell ref="C31:K31"/>
    <mergeCell ref="L31:M31"/>
    <mergeCell ref="N31:O31"/>
    <mergeCell ref="C32:K32"/>
    <mergeCell ref="L32:M32"/>
    <mergeCell ref="N32:O32"/>
    <mergeCell ref="C28:K28"/>
    <mergeCell ref="L28:M28"/>
    <mergeCell ref="N28:O28"/>
    <mergeCell ref="D12:E12"/>
    <mergeCell ref="D14:E14"/>
    <mergeCell ref="D13:E13"/>
    <mergeCell ref="D15:E15"/>
    <mergeCell ref="D16:E16"/>
    <mergeCell ref="D17:E17"/>
    <mergeCell ref="D18:E18"/>
    <mergeCell ref="D19:E19"/>
    <mergeCell ref="D20:E20"/>
    <mergeCell ref="D22:E22"/>
    <mergeCell ref="B2:V2"/>
    <mergeCell ref="B3:V3"/>
    <mergeCell ref="B4:V4"/>
    <mergeCell ref="P12:Q12"/>
    <mergeCell ref="P13:Q13"/>
    <mergeCell ref="P14:Q14"/>
    <mergeCell ref="P15:Q15"/>
    <mergeCell ref="P16:Q16"/>
    <mergeCell ref="T12:U12"/>
    <mergeCell ref="T13:U13"/>
    <mergeCell ref="T14:U14"/>
    <mergeCell ref="T15:U15"/>
    <mergeCell ref="T16:U16"/>
    <mergeCell ref="T18:U18"/>
    <mergeCell ref="T19:U19"/>
    <mergeCell ref="T20:U20"/>
    <mergeCell ref="T22:U22"/>
    <mergeCell ref="P18:Q18"/>
    <mergeCell ref="P19:Q19"/>
    <mergeCell ref="P20:Q20"/>
    <mergeCell ref="P22:Q22"/>
    <mergeCell ref="R12:S12"/>
    <mergeCell ref="R13:S13"/>
    <mergeCell ref="R14:S14"/>
    <mergeCell ref="R15:S15"/>
    <mergeCell ref="R16:S16"/>
    <mergeCell ref="R18:S18"/>
    <mergeCell ref="R19:S19"/>
    <mergeCell ref="R20:S20"/>
    <mergeCell ref="R22:S22"/>
    <mergeCell ref="P17:Q17"/>
    <mergeCell ref="R17:S17"/>
    <mergeCell ref="T17:U17"/>
    <mergeCell ref="P21:Q21"/>
    <mergeCell ref="R21:S21"/>
    <mergeCell ref="T21:U21"/>
  </mergeCells>
  <pageMargins left="0.25" right="0.25" top="0.75" bottom="0.75" header="0.3" footer="0.3"/>
  <pageSetup paperSize="9" scale="4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B1:V65"/>
  <sheetViews>
    <sheetView view="pageBreakPreview" topLeftCell="A7" zoomScale="79" zoomScaleNormal="84" zoomScaleSheetLayoutView="79" workbookViewId="0">
      <selection activeCell="L17" sqref="L17"/>
    </sheetView>
  </sheetViews>
  <sheetFormatPr defaultRowHeight="15.75" x14ac:dyDescent="0.25"/>
  <cols>
    <col min="1" max="1" width="2.7109375" style="1" customWidth="1"/>
    <col min="2" max="2" width="3.7109375" style="1" bestFit="1" customWidth="1"/>
    <col min="3" max="3" width="39.140625" style="1" customWidth="1"/>
    <col min="4" max="4" width="13.28515625" style="1" customWidth="1"/>
    <col min="5" max="5" width="11.7109375" style="1" customWidth="1"/>
    <col min="6" max="6" width="10.85546875" style="1" customWidth="1"/>
    <col min="7" max="7" width="1.5703125" style="1" hidden="1" customWidth="1"/>
    <col min="8" max="8" width="12.5703125" style="1" hidden="1" customWidth="1"/>
    <col min="9" max="9" width="1.5703125" style="1" customWidth="1"/>
    <col min="10" max="10" width="11.140625" style="1" customWidth="1"/>
    <col min="11" max="11" width="2.28515625" style="1" customWidth="1"/>
    <col min="12" max="12" width="12.7109375" style="1" customWidth="1"/>
    <col min="13" max="13" width="1.5703125" style="1" customWidth="1"/>
    <col min="14" max="14" width="15.7109375" style="1" customWidth="1"/>
    <col min="15" max="15" width="1.7109375" style="1" customWidth="1"/>
    <col min="16" max="16" width="12" style="1" customWidth="1"/>
    <col min="17" max="17" width="10.28515625" style="1" customWidth="1"/>
    <col min="18" max="18" width="12.140625" style="1" customWidth="1"/>
    <col min="19" max="19" width="10.28515625" style="1" customWidth="1"/>
    <col min="20" max="20" width="14.5703125" style="1" customWidth="1"/>
    <col min="21" max="21" width="10.85546875" style="1" customWidth="1"/>
    <col min="22" max="22" width="11" style="1" customWidth="1"/>
    <col min="23" max="16384" width="9.140625" style="1"/>
  </cols>
  <sheetData>
    <row r="1" spans="2:22" ht="16.5" thickBot="1" x14ac:dyDescent="0.3"/>
    <row r="2" spans="2:22" x14ac:dyDescent="0.25">
      <c r="B2" s="63" t="s">
        <v>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5"/>
    </row>
    <row r="3" spans="2:22" x14ac:dyDescent="0.25">
      <c r="B3" s="66" t="str">
        <f>'1'!B3:V3</f>
        <v>с 1.01.2016 по 31.12.2016 г.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/>
    </row>
    <row r="4" spans="2:22" ht="16.5" thickBot="1" x14ac:dyDescent="0.3">
      <c r="B4" s="69" t="s">
        <v>32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1"/>
    </row>
    <row r="5" spans="2:22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2:22" x14ac:dyDescent="0.25">
      <c r="C6" s="29" t="s">
        <v>56</v>
      </c>
    </row>
    <row r="8" spans="2:22" x14ac:dyDescent="0.25">
      <c r="C8" s="1" t="s">
        <v>33</v>
      </c>
      <c r="D8" s="2">
        <v>765.3</v>
      </c>
    </row>
    <row r="9" spans="2:22" x14ac:dyDescent="0.25">
      <c r="C9" s="1" t="s">
        <v>35</v>
      </c>
      <c r="D9" s="3">
        <v>38</v>
      </c>
    </row>
    <row r="10" spans="2:22" x14ac:dyDescent="0.25">
      <c r="C10" s="1" t="s">
        <v>36</v>
      </c>
      <c r="D10" s="3">
        <v>16</v>
      </c>
    </row>
    <row r="12" spans="2:22" ht="63" x14ac:dyDescent="0.25">
      <c r="C12" s="27" t="s">
        <v>1</v>
      </c>
      <c r="D12" s="59" t="str">
        <f>'1'!D12:E12</f>
        <v>Содержание общего имущества дома</v>
      </c>
      <c r="E12" s="60"/>
      <c r="F12" s="27" t="s">
        <v>8</v>
      </c>
      <c r="G12" s="7"/>
      <c r="H12" s="27" t="s">
        <v>9</v>
      </c>
      <c r="I12" s="7"/>
      <c r="J12" s="28" t="str">
        <f>'1'!J12</f>
        <v>Вывоз ТБО (руб./чел.)</v>
      </c>
      <c r="K12" s="7"/>
      <c r="L12" s="28" t="s">
        <v>67</v>
      </c>
      <c r="M12" s="7"/>
      <c r="N12" s="28" t="str">
        <f>'1'!N12</f>
        <v>Обслуживание антены (руб./лиц.сч.)</v>
      </c>
      <c r="O12" s="8"/>
      <c r="P12" s="94" t="str">
        <f>'1'!P12</f>
        <v xml:space="preserve">Хол. вода </v>
      </c>
      <c r="Q12" s="95"/>
      <c r="R12" s="59" t="str">
        <f>'1'!R12</f>
        <v xml:space="preserve">Гор. вода </v>
      </c>
      <c r="S12" s="60"/>
      <c r="T12" s="59" t="str">
        <f>'1'!T12</f>
        <v>Канализация</v>
      </c>
      <c r="U12" s="60"/>
      <c r="V12" s="27" t="s">
        <v>10</v>
      </c>
    </row>
    <row r="13" spans="2:22" x14ac:dyDescent="0.25">
      <c r="C13" s="9" t="s">
        <v>2</v>
      </c>
      <c r="D13" s="57"/>
      <c r="E13" s="58"/>
      <c r="F13" s="11"/>
      <c r="G13" s="7"/>
      <c r="H13" s="11"/>
      <c r="I13" s="7"/>
      <c r="J13" s="11"/>
      <c r="K13" s="7"/>
      <c r="L13" s="11"/>
      <c r="M13" s="7"/>
      <c r="N13" s="11"/>
      <c r="O13" s="7"/>
      <c r="P13" s="57"/>
      <c r="Q13" s="58"/>
      <c r="R13" s="57"/>
      <c r="S13" s="58"/>
      <c r="T13" s="57"/>
      <c r="U13" s="58"/>
      <c r="V13" s="30">
        <f>V14</f>
        <v>-63718.76</v>
      </c>
    </row>
    <row r="14" spans="2:22" ht="47.25" x14ac:dyDescent="0.25">
      <c r="C14" s="10" t="str">
        <f>'1'!C14</f>
        <v>Остаток с предыдущего периода (задолженность(-), переплата (+)) на 01.01.2016г.</v>
      </c>
      <c r="D14" s="57"/>
      <c r="E14" s="58"/>
      <c r="F14" s="14">
        <v>-14069.59</v>
      </c>
      <c r="G14" s="24"/>
      <c r="H14" s="14">
        <v>0</v>
      </c>
      <c r="I14" s="24"/>
      <c r="J14" s="14">
        <v>-1892.09</v>
      </c>
      <c r="K14" s="24"/>
      <c r="L14" s="14">
        <v>-36550.35</v>
      </c>
      <c r="M14" s="24"/>
      <c r="N14" s="14">
        <v>-873.36</v>
      </c>
      <c r="O14" s="24"/>
      <c r="P14" s="61">
        <v>-1397.69</v>
      </c>
      <c r="Q14" s="62"/>
      <c r="R14" s="61">
        <v>-6062.95</v>
      </c>
      <c r="S14" s="62"/>
      <c r="T14" s="61">
        <f>-1736.43-1136.3</f>
        <v>-2872.73</v>
      </c>
      <c r="U14" s="62"/>
      <c r="V14" s="14">
        <f>F14+H14+J14+L14+N14+P14+Q14+R14+S14+T14+U14</f>
        <v>-63718.76</v>
      </c>
    </row>
    <row r="15" spans="2:22" x14ac:dyDescent="0.25">
      <c r="C15" s="9" t="s">
        <v>3</v>
      </c>
      <c r="D15" s="57"/>
      <c r="E15" s="58"/>
      <c r="F15" s="11">
        <v>139939.56</v>
      </c>
      <c r="G15" s="7"/>
      <c r="H15" s="14"/>
      <c r="I15" s="7"/>
      <c r="J15" s="14">
        <v>19342.77</v>
      </c>
      <c r="K15" s="7"/>
      <c r="L15" s="11">
        <v>368751.72</v>
      </c>
      <c r="M15" s="7"/>
      <c r="N15" s="11">
        <v>7550</v>
      </c>
      <c r="O15" s="7"/>
      <c r="P15" s="61">
        <f>13725.22+407.94</f>
        <v>14133.16</v>
      </c>
      <c r="Q15" s="62"/>
      <c r="R15" s="61">
        <f>45920.79+1772.15</f>
        <v>47692.94</v>
      </c>
      <c r="S15" s="62"/>
      <c r="T15" s="61">
        <f>17047.7+8649.2</f>
        <v>25696.9</v>
      </c>
      <c r="U15" s="62"/>
      <c r="V15" s="11">
        <f>F15+H15+J15+L15+N15+P15+Q15+R15+S15+T15+U15</f>
        <v>623107.04999999993</v>
      </c>
    </row>
    <row r="16" spans="2:22" x14ac:dyDescent="0.25">
      <c r="C16" s="9" t="s">
        <v>4</v>
      </c>
      <c r="D16" s="57"/>
      <c r="E16" s="58"/>
      <c r="F16" s="11">
        <v>135964.06</v>
      </c>
      <c r="G16" s="7"/>
      <c r="H16" s="14"/>
      <c r="I16" s="7"/>
      <c r="J16" s="14">
        <v>18801.84</v>
      </c>
      <c r="K16" s="7"/>
      <c r="L16" s="21">
        <v>357602.2</v>
      </c>
      <c r="M16" s="7"/>
      <c r="N16" s="14">
        <v>7543.99</v>
      </c>
      <c r="O16" s="7"/>
      <c r="P16" s="61">
        <f>13380.53+230.67</f>
        <v>13611.2</v>
      </c>
      <c r="Q16" s="62"/>
      <c r="R16" s="61">
        <f>44920.88+946.94</f>
        <v>45867.82</v>
      </c>
      <c r="S16" s="62"/>
      <c r="T16" s="61">
        <f>16620.31+8449.77</f>
        <v>25070.080000000002</v>
      </c>
      <c r="U16" s="62"/>
      <c r="V16" s="12">
        <f t="shared" ref="V16:V17" si="0">F16+H16+J16+L16+N16+P16+Q16+R16+S16+T16+U16</f>
        <v>604461.18999999983</v>
      </c>
    </row>
    <row r="17" spans="2:22" ht="31.5" x14ac:dyDescent="0.25">
      <c r="C17" s="10" t="s">
        <v>5</v>
      </c>
      <c r="D17" s="57"/>
      <c r="E17" s="58"/>
      <c r="F17" s="14">
        <f>P44+P50</f>
        <v>154360.20888395995</v>
      </c>
      <c r="G17" s="7"/>
      <c r="H17" s="11">
        <f>P52</f>
        <v>0</v>
      </c>
      <c r="I17" s="7"/>
      <c r="J17" s="14">
        <f>J15+18637.28</f>
        <v>37980.050000000003</v>
      </c>
      <c r="K17" s="7"/>
      <c r="L17" s="11">
        <f>(D8*L20*6)+(D8*L21*6)</f>
        <v>370466.424</v>
      </c>
      <c r="M17" s="7"/>
      <c r="N17" s="18">
        <f>'1'!N17</f>
        <v>11336.326999999999</v>
      </c>
      <c r="O17" s="7"/>
      <c r="P17" s="61">
        <f>P15+Q15+114670.71</f>
        <v>128803.87000000001</v>
      </c>
      <c r="Q17" s="62"/>
      <c r="R17" s="61">
        <f>R15+S15</f>
        <v>47692.94</v>
      </c>
      <c r="S17" s="62"/>
      <c r="T17" s="61">
        <f>T15+U15</f>
        <v>25696.9</v>
      </c>
      <c r="U17" s="58"/>
      <c r="V17" s="12">
        <f t="shared" si="0"/>
        <v>776336.71988396009</v>
      </c>
    </row>
    <row r="18" spans="2:22" ht="31.5" x14ac:dyDescent="0.25">
      <c r="C18" s="10" t="str">
        <f>'1'!C18</f>
        <v>Текущий остаток (задолженность (-), переплата (+)) на 31.12.2016 г.</v>
      </c>
      <c r="D18" s="57"/>
      <c r="E18" s="58"/>
      <c r="F18" s="31">
        <f>F16-F15+F14</f>
        <v>-18045.09</v>
      </c>
      <c r="G18" s="32"/>
      <c r="H18" s="31">
        <f>H16-H15+H14</f>
        <v>0</v>
      </c>
      <c r="I18" s="40"/>
      <c r="J18" s="31">
        <f>J16-J15+J14</f>
        <v>-2433.0200000000004</v>
      </c>
      <c r="K18" s="40"/>
      <c r="L18" s="31">
        <f>L16-L15+L14</f>
        <v>-47699.869999999959</v>
      </c>
      <c r="M18" s="40"/>
      <c r="N18" s="31">
        <f>N16-N15+N14</f>
        <v>-879.37000000000023</v>
      </c>
      <c r="O18" s="40"/>
      <c r="P18" s="55">
        <f>P16-P15+P14</f>
        <v>-1919.6499999999992</v>
      </c>
      <c r="Q18" s="56"/>
      <c r="R18" s="55">
        <f t="shared" ref="R18:T18" si="1">R16-R15+R14</f>
        <v>-7888.0700000000024</v>
      </c>
      <c r="S18" s="56"/>
      <c r="T18" s="55">
        <f t="shared" si="1"/>
        <v>-3499.5499999999997</v>
      </c>
      <c r="U18" s="56"/>
      <c r="V18" s="31">
        <f>V16-V15+V14</f>
        <v>-82364.620000000112</v>
      </c>
    </row>
    <row r="19" spans="2:22" x14ac:dyDescent="0.25">
      <c r="C19" s="9" t="s">
        <v>6</v>
      </c>
      <c r="D19" s="57"/>
      <c r="E19" s="58"/>
      <c r="F19" s="11"/>
      <c r="G19" s="7"/>
      <c r="H19" s="11"/>
      <c r="I19" s="7"/>
      <c r="J19" s="11"/>
      <c r="K19" s="7"/>
      <c r="L19" s="11"/>
      <c r="M19" s="7"/>
      <c r="N19" s="11"/>
      <c r="O19" s="7"/>
      <c r="P19" s="57"/>
      <c r="Q19" s="58"/>
      <c r="R19" s="57"/>
      <c r="S19" s="58"/>
      <c r="T19" s="57"/>
      <c r="U19" s="58"/>
      <c r="V19" s="30">
        <f>F18+H18+J18+L18+N18+P18+Q18+R18+S18+T18+U18</f>
        <v>-82364.619999999952</v>
      </c>
    </row>
    <row r="20" spans="2:22" x14ac:dyDescent="0.25">
      <c r="C20" s="9" t="str">
        <f>'1'!C20</f>
        <v>Тариф (руб/м²), 1-е полугодие</v>
      </c>
      <c r="D20" s="57"/>
      <c r="E20" s="58"/>
      <c r="F20" s="13">
        <f>'1'!F20</f>
        <v>15.31</v>
      </c>
      <c r="G20" s="7"/>
      <c r="H20" s="11"/>
      <c r="I20" s="7"/>
      <c r="J20" s="13">
        <f>'1'!J20</f>
        <v>44.32</v>
      </c>
      <c r="K20" s="7"/>
      <c r="L20" s="11">
        <v>39.770000000000003</v>
      </c>
      <c r="M20" s="7"/>
      <c r="N20" s="11">
        <f>'1'!N20</f>
        <v>50</v>
      </c>
      <c r="O20" s="7"/>
      <c r="P20" s="57" t="str">
        <f>'1'!P20</f>
        <v xml:space="preserve">15,02 руб./м3 </v>
      </c>
      <c r="Q20" s="58"/>
      <c r="R20" s="57" t="str">
        <f>'1'!R20</f>
        <v>99,55 руб./м3</v>
      </c>
      <c r="S20" s="58"/>
      <c r="T20" s="57" t="str">
        <f>'1'!T20</f>
        <v>18,66 руб./м3</v>
      </c>
      <c r="U20" s="58"/>
      <c r="V20" s="11"/>
    </row>
    <row r="21" spans="2:22" x14ac:dyDescent="0.25">
      <c r="C21" s="9" t="str">
        <f>'1'!C21</f>
        <v>Тариф (руб/м²), 2-е полугодие</v>
      </c>
      <c r="D21" s="50"/>
      <c r="E21" s="51"/>
      <c r="F21" s="21">
        <f>'1'!F21</f>
        <v>15.31</v>
      </c>
      <c r="G21" s="7"/>
      <c r="H21" s="21"/>
      <c r="I21" s="7"/>
      <c r="J21" s="21">
        <f>'1'!J21</f>
        <v>44.32</v>
      </c>
      <c r="K21" s="7"/>
      <c r="L21" s="21">
        <v>40.909999999999997</v>
      </c>
      <c r="M21" s="7"/>
      <c r="N21" s="21">
        <f>'1'!N21</f>
        <v>50</v>
      </c>
      <c r="O21" s="7"/>
      <c r="P21" s="57" t="str">
        <f>'1'!P21:Q21</f>
        <v>15,63 руб./м³</v>
      </c>
      <c r="Q21" s="58"/>
      <c r="R21" s="57" t="str">
        <f>'1'!R21:S21</f>
        <v>102,59 руб./м³</v>
      </c>
      <c r="S21" s="58"/>
      <c r="T21" s="57" t="str">
        <f>'1'!T21:U21</f>
        <v>19,41 руб./м³</v>
      </c>
      <c r="U21" s="58"/>
      <c r="V21" s="21"/>
    </row>
    <row r="22" spans="2:22" x14ac:dyDescent="0.25">
      <c r="C22" s="9" t="s">
        <v>44</v>
      </c>
      <c r="D22" s="57"/>
      <c r="E22" s="58"/>
      <c r="F22" s="18">
        <f>N44+N50</f>
        <v>16.808246099999998</v>
      </c>
      <c r="G22" s="7"/>
      <c r="H22" s="11"/>
      <c r="I22" s="7"/>
      <c r="J22" s="11"/>
      <c r="K22" s="7"/>
      <c r="L22" s="11"/>
      <c r="M22" s="7"/>
      <c r="N22" s="11"/>
      <c r="O22" s="7"/>
      <c r="P22" s="57"/>
      <c r="Q22" s="58"/>
      <c r="R22" s="57"/>
      <c r="S22" s="58"/>
      <c r="T22" s="57"/>
      <c r="U22" s="58"/>
      <c r="V22" s="11"/>
    </row>
    <row r="24" spans="2:22" x14ac:dyDescent="0.25">
      <c r="C24" s="5" t="s">
        <v>11</v>
      </c>
    </row>
    <row r="25" spans="2:22" x14ac:dyDescent="0.25">
      <c r="C25" s="1" t="s">
        <v>12</v>
      </c>
      <c r="J25" s="34">
        <f>V19/V15*100</f>
        <v>-13.218373953560622</v>
      </c>
      <c r="K25" s="35" t="s">
        <v>37</v>
      </c>
    </row>
    <row r="28" spans="2:22" ht="33" customHeight="1" x14ac:dyDescent="0.25">
      <c r="B28" s="27" t="s">
        <v>13</v>
      </c>
      <c r="C28" s="72" t="s">
        <v>14</v>
      </c>
      <c r="D28" s="72"/>
      <c r="E28" s="72"/>
      <c r="F28" s="72"/>
      <c r="G28" s="72"/>
      <c r="H28" s="72"/>
      <c r="I28" s="72"/>
      <c r="J28" s="72"/>
      <c r="K28" s="72"/>
      <c r="L28" s="73" t="s">
        <v>45</v>
      </c>
      <c r="M28" s="73"/>
      <c r="N28" s="73" t="s">
        <v>46</v>
      </c>
      <c r="O28" s="73"/>
      <c r="P28" s="27" t="s">
        <v>28</v>
      </c>
    </row>
    <row r="29" spans="2:22" x14ac:dyDescent="0.25">
      <c r="B29" s="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4"/>
    </row>
    <row r="30" spans="2:22" x14ac:dyDescent="0.25">
      <c r="B30" s="90" t="s">
        <v>7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</row>
    <row r="31" spans="2:22" x14ac:dyDescent="0.25">
      <c r="B31" s="4">
        <v>1</v>
      </c>
      <c r="C31" s="76" t="s">
        <v>15</v>
      </c>
      <c r="D31" s="76"/>
      <c r="E31" s="76"/>
      <c r="F31" s="76"/>
      <c r="G31" s="76"/>
      <c r="H31" s="76"/>
      <c r="I31" s="76"/>
      <c r="J31" s="76"/>
      <c r="K31" s="76"/>
      <c r="L31" s="74">
        <v>765.3</v>
      </c>
      <c r="M31" s="74"/>
      <c r="N31" s="77">
        <f>'1'!N31:O31</f>
        <v>3.5</v>
      </c>
      <c r="O31" s="77"/>
      <c r="P31" s="17">
        <f>L31*N31*12</f>
        <v>32142.6</v>
      </c>
    </row>
    <row r="32" spans="2:22" x14ac:dyDescent="0.25">
      <c r="B32" s="4">
        <v>2</v>
      </c>
      <c r="C32" s="76" t="s">
        <v>34</v>
      </c>
      <c r="D32" s="76"/>
      <c r="E32" s="76"/>
      <c r="F32" s="76"/>
      <c r="G32" s="76"/>
      <c r="H32" s="76"/>
      <c r="I32" s="76"/>
      <c r="J32" s="76"/>
      <c r="K32" s="76"/>
      <c r="L32" s="74">
        <v>765.3</v>
      </c>
      <c r="M32" s="74"/>
      <c r="N32" s="77">
        <f>'1'!N32:O32</f>
        <v>0.98752150000000005</v>
      </c>
      <c r="O32" s="77"/>
      <c r="P32" s="17">
        <f t="shared" ref="P32:P43" si="2">L32*N32*12</f>
        <v>9069.0024474000002</v>
      </c>
    </row>
    <row r="33" spans="2:16" x14ac:dyDescent="0.25">
      <c r="B33" s="4">
        <v>3</v>
      </c>
      <c r="C33" s="76" t="s">
        <v>16</v>
      </c>
      <c r="D33" s="76"/>
      <c r="E33" s="76"/>
      <c r="F33" s="76"/>
      <c r="G33" s="76"/>
      <c r="H33" s="76"/>
      <c r="I33" s="76"/>
      <c r="J33" s="76"/>
      <c r="K33" s="76"/>
      <c r="L33" s="74">
        <v>765.3</v>
      </c>
      <c r="M33" s="74"/>
      <c r="N33" s="77">
        <f>'1'!N33:O33</f>
        <v>2.8257476000000001</v>
      </c>
      <c r="O33" s="77"/>
      <c r="P33" s="17">
        <f t="shared" si="2"/>
        <v>25950.535659360001</v>
      </c>
    </row>
    <row r="34" spans="2:16" x14ac:dyDescent="0.25">
      <c r="B34" s="4">
        <v>4</v>
      </c>
      <c r="C34" s="76" t="s">
        <v>17</v>
      </c>
      <c r="D34" s="76"/>
      <c r="E34" s="76"/>
      <c r="F34" s="76"/>
      <c r="G34" s="76"/>
      <c r="H34" s="76"/>
      <c r="I34" s="76"/>
      <c r="J34" s="76"/>
      <c r="K34" s="76"/>
      <c r="L34" s="74">
        <v>765.3</v>
      </c>
      <c r="M34" s="74"/>
      <c r="N34" s="77">
        <f>'1'!N34:O34</f>
        <v>1</v>
      </c>
      <c r="O34" s="77"/>
      <c r="P34" s="17">
        <f t="shared" si="2"/>
        <v>9183.5999999999985</v>
      </c>
    </row>
    <row r="35" spans="2:16" x14ac:dyDescent="0.25">
      <c r="B35" s="4">
        <v>5</v>
      </c>
      <c r="C35" s="76" t="s">
        <v>18</v>
      </c>
      <c r="D35" s="76"/>
      <c r="E35" s="76"/>
      <c r="F35" s="76"/>
      <c r="G35" s="76"/>
      <c r="H35" s="76"/>
      <c r="I35" s="76"/>
      <c r="J35" s="76"/>
      <c r="K35" s="76"/>
      <c r="L35" s="74">
        <v>765.3</v>
      </c>
      <c r="M35" s="74"/>
      <c r="N35" s="77">
        <f>'1'!N35:O35</f>
        <v>2</v>
      </c>
      <c r="O35" s="77"/>
      <c r="P35" s="17">
        <f t="shared" si="2"/>
        <v>18367.199999999997</v>
      </c>
    </row>
    <row r="36" spans="2:16" x14ac:dyDescent="0.25">
      <c r="B36" s="4">
        <v>6</v>
      </c>
      <c r="C36" s="76" t="s">
        <v>24</v>
      </c>
      <c r="D36" s="76"/>
      <c r="E36" s="76"/>
      <c r="F36" s="76"/>
      <c r="G36" s="76"/>
      <c r="H36" s="76"/>
      <c r="I36" s="76"/>
      <c r="J36" s="76"/>
      <c r="K36" s="76"/>
      <c r="L36" s="74">
        <v>765.3</v>
      </c>
      <c r="M36" s="74"/>
      <c r="N36" s="77">
        <f>'1'!N36:O36</f>
        <v>3</v>
      </c>
      <c r="O36" s="77"/>
      <c r="P36" s="17">
        <f t="shared" si="2"/>
        <v>27550.799999999996</v>
      </c>
    </row>
    <row r="37" spans="2:16" x14ac:dyDescent="0.25">
      <c r="B37" s="4">
        <v>7</v>
      </c>
      <c r="C37" s="76" t="s">
        <v>19</v>
      </c>
      <c r="D37" s="76"/>
      <c r="E37" s="76"/>
      <c r="F37" s="76"/>
      <c r="G37" s="76"/>
      <c r="H37" s="76"/>
      <c r="I37" s="76"/>
      <c r="J37" s="76"/>
      <c r="K37" s="76"/>
      <c r="L37" s="74">
        <v>765.3</v>
      </c>
      <c r="M37" s="74"/>
      <c r="N37" s="77">
        <f>'1'!N37:O37</f>
        <v>0.5</v>
      </c>
      <c r="O37" s="77"/>
      <c r="P37" s="17">
        <f t="shared" si="2"/>
        <v>4591.7999999999993</v>
      </c>
    </row>
    <row r="38" spans="2:16" x14ac:dyDescent="0.25">
      <c r="B38" s="4">
        <v>8</v>
      </c>
      <c r="C38" s="76" t="s">
        <v>20</v>
      </c>
      <c r="D38" s="76"/>
      <c r="E38" s="76"/>
      <c r="F38" s="76"/>
      <c r="G38" s="76"/>
      <c r="H38" s="76"/>
      <c r="I38" s="76"/>
      <c r="J38" s="76"/>
      <c r="K38" s="76"/>
      <c r="L38" s="74">
        <v>765.3</v>
      </c>
      <c r="M38" s="74"/>
      <c r="N38" s="77">
        <f>'1'!N38:O38</f>
        <v>1.694977</v>
      </c>
      <c r="O38" s="77"/>
      <c r="P38" s="17">
        <f t="shared" si="2"/>
        <v>15565.990777199997</v>
      </c>
    </row>
    <row r="39" spans="2:16" x14ac:dyDescent="0.25">
      <c r="B39" s="4">
        <v>9</v>
      </c>
      <c r="C39" s="76" t="s">
        <v>84</v>
      </c>
      <c r="D39" s="76"/>
      <c r="E39" s="76"/>
      <c r="F39" s="76"/>
      <c r="G39" s="76"/>
      <c r="H39" s="76"/>
      <c r="I39" s="76"/>
      <c r="J39" s="76"/>
      <c r="K39" s="76"/>
      <c r="L39" s="74">
        <v>765.3</v>
      </c>
      <c r="M39" s="74"/>
      <c r="N39" s="77">
        <f>'1'!N39:O39</f>
        <v>0.1</v>
      </c>
      <c r="O39" s="77"/>
      <c r="P39" s="17">
        <f t="shared" si="2"/>
        <v>918.36</v>
      </c>
    </row>
    <row r="40" spans="2:16" x14ac:dyDescent="0.25">
      <c r="B40" s="4">
        <v>10</v>
      </c>
      <c r="C40" s="76" t="s">
        <v>21</v>
      </c>
      <c r="D40" s="76"/>
      <c r="E40" s="76"/>
      <c r="F40" s="76"/>
      <c r="G40" s="76"/>
      <c r="H40" s="76"/>
      <c r="I40" s="76"/>
      <c r="J40" s="76"/>
      <c r="K40" s="76"/>
      <c r="L40" s="74">
        <v>765.3</v>
      </c>
      <c r="M40" s="74"/>
      <c r="N40" s="77">
        <f>'1'!N40:O40</f>
        <v>0.2</v>
      </c>
      <c r="O40" s="77"/>
      <c r="P40" s="17">
        <f t="shared" si="2"/>
        <v>1836.72</v>
      </c>
    </row>
    <row r="41" spans="2:16" x14ac:dyDescent="0.25">
      <c r="B41" s="4">
        <v>11</v>
      </c>
      <c r="C41" s="76" t="s">
        <v>22</v>
      </c>
      <c r="D41" s="76"/>
      <c r="E41" s="76"/>
      <c r="F41" s="76"/>
      <c r="G41" s="76"/>
      <c r="H41" s="76"/>
      <c r="I41" s="76"/>
      <c r="J41" s="76"/>
      <c r="K41" s="76"/>
      <c r="L41" s="74">
        <v>765.3</v>
      </c>
      <c r="M41" s="74"/>
      <c r="N41" s="77">
        <f>'1'!N41:O41</f>
        <v>0.5</v>
      </c>
      <c r="O41" s="77"/>
      <c r="P41" s="17">
        <f t="shared" si="2"/>
        <v>4591.7999999999993</v>
      </c>
    </row>
    <row r="42" spans="2:16" hidden="1" x14ac:dyDescent="0.25">
      <c r="B42" s="4">
        <v>12</v>
      </c>
      <c r="C42" s="76" t="s">
        <v>23</v>
      </c>
      <c r="D42" s="76"/>
      <c r="E42" s="76"/>
      <c r="F42" s="76"/>
      <c r="G42" s="76"/>
      <c r="H42" s="76"/>
      <c r="I42" s="76"/>
      <c r="J42" s="76"/>
      <c r="K42" s="76"/>
      <c r="L42" s="74">
        <v>765.3</v>
      </c>
      <c r="M42" s="74"/>
      <c r="N42" s="77">
        <f>'1'!N42:O42</f>
        <v>0</v>
      </c>
      <c r="O42" s="77"/>
      <c r="P42" s="17">
        <f t="shared" si="2"/>
        <v>0</v>
      </c>
    </row>
    <row r="43" spans="2:16" x14ac:dyDescent="0.25">
      <c r="B43" s="4">
        <v>12</v>
      </c>
      <c r="C43" s="76" t="s">
        <v>25</v>
      </c>
      <c r="D43" s="76"/>
      <c r="E43" s="76"/>
      <c r="F43" s="76"/>
      <c r="G43" s="76"/>
      <c r="H43" s="76"/>
      <c r="I43" s="76"/>
      <c r="J43" s="76"/>
      <c r="K43" s="76"/>
      <c r="L43" s="74">
        <v>765.3</v>
      </c>
      <c r="M43" s="74"/>
      <c r="N43" s="77">
        <f>'1'!N43:O43</f>
        <v>0.5</v>
      </c>
      <c r="O43" s="77"/>
      <c r="P43" s="17">
        <f t="shared" si="2"/>
        <v>4591.7999999999993</v>
      </c>
    </row>
    <row r="44" spans="2:16" x14ac:dyDescent="0.25">
      <c r="B44" s="38"/>
      <c r="C44" s="78" t="s">
        <v>26</v>
      </c>
      <c r="D44" s="78"/>
      <c r="E44" s="78"/>
      <c r="F44" s="78"/>
      <c r="G44" s="78"/>
      <c r="H44" s="78"/>
      <c r="I44" s="78"/>
      <c r="J44" s="78"/>
      <c r="K44" s="78"/>
      <c r="L44" s="79">
        <v>765.3</v>
      </c>
      <c r="M44" s="79"/>
      <c r="N44" s="91">
        <f>SUM(N31:O43)</f>
        <v>16.808246099999998</v>
      </c>
      <c r="O44" s="91"/>
      <c r="P44" s="39">
        <f>SUM(P31:P43)</f>
        <v>154360.20888395995</v>
      </c>
    </row>
    <row r="45" spans="2:16" hidden="1" x14ac:dyDescent="0.25">
      <c r="B45" s="90" t="s">
        <v>27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</row>
    <row r="46" spans="2:16" hidden="1" x14ac:dyDescent="0.25">
      <c r="B46" s="4">
        <v>1</v>
      </c>
      <c r="C46" s="82" t="s">
        <v>73</v>
      </c>
      <c r="D46" s="83"/>
      <c r="E46" s="83"/>
      <c r="F46" s="83"/>
      <c r="G46" s="83"/>
      <c r="H46" s="83"/>
      <c r="I46" s="83"/>
      <c r="J46" s="83"/>
      <c r="K46" s="84"/>
      <c r="L46" s="74">
        <v>765.3</v>
      </c>
      <c r="M46" s="74"/>
      <c r="N46" s="74"/>
      <c r="O46" s="74"/>
      <c r="P46" s="17">
        <f>L46*N46*6</f>
        <v>0</v>
      </c>
    </row>
    <row r="47" spans="2:16" hidden="1" x14ac:dyDescent="0.25">
      <c r="B47" s="4">
        <v>2</v>
      </c>
      <c r="C47" s="82" t="s">
        <v>74</v>
      </c>
      <c r="D47" s="83"/>
      <c r="E47" s="83"/>
      <c r="F47" s="83"/>
      <c r="G47" s="83"/>
      <c r="H47" s="83"/>
      <c r="I47" s="83"/>
      <c r="J47" s="83"/>
      <c r="K47" s="84"/>
      <c r="L47" s="74">
        <v>765.3</v>
      </c>
      <c r="M47" s="74"/>
      <c r="N47" s="74"/>
      <c r="O47" s="74"/>
      <c r="P47" s="17">
        <f>L47*N47*6</f>
        <v>0</v>
      </c>
    </row>
    <row r="48" spans="2:16" hidden="1" x14ac:dyDescent="0.25">
      <c r="B48" s="4">
        <v>3</v>
      </c>
      <c r="C48" s="74"/>
      <c r="D48" s="74"/>
      <c r="E48" s="74"/>
      <c r="F48" s="74"/>
      <c r="G48" s="74"/>
      <c r="H48" s="74"/>
      <c r="I48" s="74"/>
      <c r="J48" s="74"/>
      <c r="K48" s="74"/>
      <c r="L48" s="74">
        <v>765.3</v>
      </c>
      <c r="M48" s="74"/>
      <c r="N48" s="74"/>
      <c r="O48" s="74"/>
      <c r="P48" s="17"/>
    </row>
    <row r="49" spans="2:16" hidden="1" x14ac:dyDescent="0.25">
      <c r="B49" s="4">
        <v>4</v>
      </c>
      <c r="C49" s="74"/>
      <c r="D49" s="74"/>
      <c r="E49" s="74"/>
      <c r="F49" s="74"/>
      <c r="G49" s="74"/>
      <c r="H49" s="74"/>
      <c r="I49" s="74"/>
      <c r="J49" s="74"/>
      <c r="K49" s="74"/>
      <c r="L49" s="74">
        <v>765.3</v>
      </c>
      <c r="M49" s="74"/>
      <c r="N49" s="74"/>
      <c r="O49" s="74"/>
      <c r="P49" s="17"/>
    </row>
    <row r="50" spans="2:16" hidden="1" x14ac:dyDescent="0.25">
      <c r="B50" s="38"/>
      <c r="C50" s="86" t="s">
        <v>29</v>
      </c>
      <c r="D50" s="87"/>
      <c r="E50" s="87"/>
      <c r="F50" s="87"/>
      <c r="G50" s="87"/>
      <c r="H50" s="87"/>
      <c r="I50" s="87"/>
      <c r="J50" s="87"/>
      <c r="K50" s="88"/>
      <c r="L50" s="79">
        <v>765.3</v>
      </c>
      <c r="M50" s="79"/>
      <c r="N50" s="79">
        <f>SUM(N46:O49)</f>
        <v>0</v>
      </c>
      <c r="O50" s="79"/>
      <c r="P50" s="39">
        <f>SUM(P46:P49)</f>
        <v>0</v>
      </c>
    </row>
    <row r="51" spans="2:16" hidden="1" x14ac:dyDescent="0.25">
      <c r="B51" s="90" t="s">
        <v>30</v>
      </c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</row>
    <row r="52" spans="2:16" hidden="1" x14ac:dyDescent="0.25">
      <c r="B52" s="38"/>
      <c r="C52" s="86" t="s">
        <v>31</v>
      </c>
      <c r="D52" s="87"/>
      <c r="E52" s="87"/>
      <c r="F52" s="87"/>
      <c r="G52" s="87"/>
      <c r="H52" s="87"/>
      <c r="I52" s="87"/>
      <c r="J52" s="87"/>
      <c r="K52" s="88"/>
      <c r="L52" s="79">
        <v>765.3</v>
      </c>
      <c r="M52" s="79"/>
      <c r="N52" s="79">
        <v>0</v>
      </c>
      <c r="O52" s="79"/>
      <c r="P52" s="38">
        <v>0</v>
      </c>
    </row>
    <row r="55" spans="2:16" x14ac:dyDescent="0.25">
      <c r="C55" s="1" t="s">
        <v>38</v>
      </c>
    </row>
    <row r="56" spans="2:16" x14ac:dyDescent="0.25">
      <c r="C56" s="1" t="s">
        <v>39</v>
      </c>
    </row>
    <row r="57" spans="2:16" x14ac:dyDescent="0.25">
      <c r="C57" s="4" t="s">
        <v>93</v>
      </c>
      <c r="D57" s="22">
        <f>N44</f>
        <v>16.808246099999998</v>
      </c>
    </row>
    <row r="60" spans="2:16" x14ac:dyDescent="0.25">
      <c r="C60" s="1" t="s">
        <v>40</v>
      </c>
      <c r="D60" s="2"/>
      <c r="E60" s="2"/>
      <c r="F60" s="2"/>
      <c r="G60" s="2"/>
      <c r="J60" s="1" t="s">
        <v>41</v>
      </c>
    </row>
    <row r="63" spans="2:16" ht="24.75" customHeight="1" x14ac:dyDescent="0.25">
      <c r="C63" s="1" t="s">
        <v>42</v>
      </c>
      <c r="D63" s="2"/>
      <c r="E63" s="2"/>
      <c r="F63" s="1" t="s">
        <v>43</v>
      </c>
    </row>
    <row r="64" spans="2:16" ht="25.5" customHeight="1" x14ac:dyDescent="0.25">
      <c r="D64" s="2"/>
      <c r="E64" s="2"/>
      <c r="F64" s="1" t="s">
        <v>43</v>
      </c>
    </row>
    <row r="65" spans="4:6" ht="24.75" customHeight="1" x14ac:dyDescent="0.25">
      <c r="D65" s="2"/>
      <c r="E65" s="2"/>
      <c r="F65" s="1" t="s">
        <v>43</v>
      </c>
    </row>
  </sheetData>
  <mergeCells count="115">
    <mergeCell ref="B51:P51"/>
    <mergeCell ref="C52:K52"/>
    <mergeCell ref="L52:M52"/>
    <mergeCell ref="N52:O52"/>
    <mergeCell ref="C49:K49"/>
    <mergeCell ref="L49:M49"/>
    <mergeCell ref="N49:O49"/>
    <mergeCell ref="C50:K50"/>
    <mergeCell ref="L50:M50"/>
    <mergeCell ref="N50:O50"/>
    <mergeCell ref="B45:P45"/>
    <mergeCell ref="C46:K46"/>
    <mergeCell ref="L46:M46"/>
    <mergeCell ref="N46:O46"/>
    <mergeCell ref="C47:K47"/>
    <mergeCell ref="L47:M47"/>
    <mergeCell ref="N47:O47"/>
    <mergeCell ref="C48:K48"/>
    <mergeCell ref="L48:M48"/>
    <mergeCell ref="N48:O48"/>
    <mergeCell ref="C42:K42"/>
    <mergeCell ref="L42:M42"/>
    <mergeCell ref="N42:O42"/>
    <mergeCell ref="C43:K43"/>
    <mergeCell ref="L43:M43"/>
    <mergeCell ref="N43:O43"/>
    <mergeCell ref="C44:K44"/>
    <mergeCell ref="L44:M44"/>
    <mergeCell ref="N44:O44"/>
    <mergeCell ref="C39:K39"/>
    <mergeCell ref="L39:M39"/>
    <mergeCell ref="N39:O39"/>
    <mergeCell ref="C40:K40"/>
    <mergeCell ref="L40:M40"/>
    <mergeCell ref="N40:O40"/>
    <mergeCell ref="C41:K41"/>
    <mergeCell ref="L41:M41"/>
    <mergeCell ref="N41:O41"/>
    <mergeCell ref="C36:K36"/>
    <mergeCell ref="L36:M36"/>
    <mergeCell ref="N36:O36"/>
    <mergeCell ref="C37:K37"/>
    <mergeCell ref="L37:M37"/>
    <mergeCell ref="N37:O37"/>
    <mergeCell ref="C38:K38"/>
    <mergeCell ref="L38:M38"/>
    <mergeCell ref="N38:O38"/>
    <mergeCell ref="C33:K33"/>
    <mergeCell ref="L33:M33"/>
    <mergeCell ref="N33:O33"/>
    <mergeCell ref="C34:K34"/>
    <mergeCell ref="L34:M34"/>
    <mergeCell ref="N34:O34"/>
    <mergeCell ref="C35:K35"/>
    <mergeCell ref="L35:M35"/>
    <mergeCell ref="N35:O35"/>
    <mergeCell ref="C29:K29"/>
    <mergeCell ref="L29:M29"/>
    <mergeCell ref="N29:O29"/>
    <mergeCell ref="B30:P30"/>
    <mergeCell ref="C31:K31"/>
    <mergeCell ref="L31:M31"/>
    <mergeCell ref="N31:O31"/>
    <mergeCell ref="C32:K32"/>
    <mergeCell ref="L32:M32"/>
    <mergeCell ref="N32:O32"/>
    <mergeCell ref="C28:K28"/>
    <mergeCell ref="L28:M28"/>
    <mergeCell ref="N28:O28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2:E22"/>
    <mergeCell ref="B2:V2"/>
    <mergeCell ref="B3:V3"/>
    <mergeCell ref="B4:V4"/>
    <mergeCell ref="P12:Q12"/>
    <mergeCell ref="P13:Q13"/>
    <mergeCell ref="P14:Q14"/>
    <mergeCell ref="P15:Q15"/>
    <mergeCell ref="P16:Q16"/>
    <mergeCell ref="T12:U12"/>
    <mergeCell ref="T13:U13"/>
    <mergeCell ref="T14:U14"/>
    <mergeCell ref="T15:U15"/>
    <mergeCell ref="T16:U16"/>
    <mergeCell ref="T18:U18"/>
    <mergeCell ref="T19:U19"/>
    <mergeCell ref="T20:U20"/>
    <mergeCell ref="T22:U22"/>
    <mergeCell ref="P18:Q18"/>
    <mergeCell ref="P19:Q19"/>
    <mergeCell ref="P20:Q20"/>
    <mergeCell ref="P22:Q22"/>
    <mergeCell ref="R12:S12"/>
    <mergeCell ref="R13:S13"/>
    <mergeCell ref="R14:S14"/>
    <mergeCell ref="R15:S15"/>
    <mergeCell ref="R16:S16"/>
    <mergeCell ref="R18:S18"/>
    <mergeCell ref="R19:S19"/>
    <mergeCell ref="R20:S20"/>
    <mergeCell ref="R22:S22"/>
    <mergeCell ref="P17:Q17"/>
    <mergeCell ref="R17:S17"/>
    <mergeCell ref="T17:U17"/>
    <mergeCell ref="P21:Q21"/>
    <mergeCell ref="R21:S21"/>
    <mergeCell ref="T21:U21"/>
  </mergeCells>
  <pageMargins left="0.25" right="0.25" top="0.75" bottom="0.75" header="0.3" footer="0.3"/>
  <pageSetup paperSize="9" scale="4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V65"/>
  <sheetViews>
    <sheetView view="pageBreakPreview" topLeftCell="A13" zoomScale="79" zoomScaleNormal="84" zoomScaleSheetLayoutView="79" workbookViewId="0">
      <selection activeCell="L17" sqref="L17"/>
    </sheetView>
  </sheetViews>
  <sheetFormatPr defaultRowHeight="15.75" x14ac:dyDescent="0.25"/>
  <cols>
    <col min="1" max="1" width="2" style="1" customWidth="1"/>
    <col min="2" max="2" width="4" style="1" bestFit="1" customWidth="1"/>
    <col min="3" max="3" width="39.7109375" style="1" customWidth="1"/>
    <col min="4" max="4" width="13.28515625" style="1" customWidth="1"/>
    <col min="5" max="5" width="11.7109375" style="1" customWidth="1"/>
    <col min="6" max="6" width="10.7109375" style="1" customWidth="1"/>
    <col min="7" max="7" width="1.5703125" style="1" hidden="1" customWidth="1"/>
    <col min="8" max="8" width="12.5703125" style="1" hidden="1" customWidth="1"/>
    <col min="9" max="9" width="1.5703125" style="1" customWidth="1"/>
    <col min="10" max="10" width="11.140625" style="1" customWidth="1"/>
    <col min="11" max="11" width="2.28515625" style="1" customWidth="1"/>
    <col min="12" max="12" width="12.85546875" style="1" customWidth="1"/>
    <col min="13" max="13" width="1.5703125" style="1" customWidth="1"/>
    <col min="14" max="14" width="15.7109375" style="1" customWidth="1"/>
    <col min="15" max="15" width="1.7109375" style="1" customWidth="1"/>
    <col min="16" max="16" width="12" style="1" customWidth="1"/>
    <col min="17" max="17" width="10.28515625" style="1" customWidth="1"/>
    <col min="18" max="18" width="11.140625" style="1" customWidth="1"/>
    <col min="19" max="19" width="10.28515625" style="1" customWidth="1"/>
    <col min="20" max="20" width="14.5703125" style="1" customWidth="1"/>
    <col min="21" max="21" width="10.85546875" style="1" customWidth="1"/>
    <col min="22" max="22" width="11" style="1" customWidth="1"/>
    <col min="23" max="16384" width="9.140625" style="1"/>
  </cols>
  <sheetData>
    <row r="1" spans="2:22" ht="16.5" thickBot="1" x14ac:dyDescent="0.3"/>
    <row r="2" spans="2:22" x14ac:dyDescent="0.25">
      <c r="B2" s="63" t="s">
        <v>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5"/>
    </row>
    <row r="3" spans="2:22" x14ac:dyDescent="0.25">
      <c r="B3" s="66" t="str">
        <f>'1'!B3:V3</f>
        <v>с 1.01.2016 по 31.12.2016 г.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/>
    </row>
    <row r="4" spans="2:22" ht="16.5" thickBot="1" x14ac:dyDescent="0.3">
      <c r="B4" s="69" t="s">
        <v>32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1"/>
    </row>
    <row r="5" spans="2:22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2:22" x14ac:dyDescent="0.25">
      <c r="C6" s="29" t="s">
        <v>57</v>
      </c>
    </row>
    <row r="8" spans="2:22" x14ac:dyDescent="0.25">
      <c r="C8" s="1" t="s">
        <v>33</v>
      </c>
      <c r="D8" s="2">
        <v>751</v>
      </c>
    </row>
    <row r="9" spans="2:22" x14ac:dyDescent="0.25">
      <c r="C9" s="1" t="s">
        <v>35</v>
      </c>
      <c r="D9" s="3">
        <v>27</v>
      </c>
    </row>
    <row r="10" spans="2:22" x14ac:dyDescent="0.25">
      <c r="C10" s="1" t="s">
        <v>36</v>
      </c>
      <c r="D10" s="3">
        <v>16</v>
      </c>
    </row>
    <row r="12" spans="2:22" ht="63" x14ac:dyDescent="0.25">
      <c r="C12" s="27" t="s">
        <v>1</v>
      </c>
      <c r="D12" s="59" t="str">
        <f>'1'!D12:E12</f>
        <v>Содержание общего имущества дома</v>
      </c>
      <c r="E12" s="60"/>
      <c r="F12" s="27" t="s">
        <v>8</v>
      </c>
      <c r="G12" s="7"/>
      <c r="H12" s="27" t="s">
        <v>9</v>
      </c>
      <c r="I12" s="7"/>
      <c r="J12" s="28" t="str">
        <f>'1'!J12</f>
        <v>Вывоз ТБО (руб./чел.)</v>
      </c>
      <c r="K12" s="7"/>
      <c r="L12" s="28" t="s">
        <v>67</v>
      </c>
      <c r="M12" s="7"/>
      <c r="N12" s="28" t="str">
        <f>'1'!N12</f>
        <v>Обслуживание антены (руб./лиц.сч.)</v>
      </c>
      <c r="O12" s="8"/>
      <c r="P12" s="59" t="str">
        <f>'1'!P12</f>
        <v xml:space="preserve">Хол. вода </v>
      </c>
      <c r="Q12" s="60"/>
      <c r="R12" s="59" t="str">
        <f>'1'!R12</f>
        <v xml:space="preserve">Гор. вода </v>
      </c>
      <c r="S12" s="60"/>
      <c r="T12" s="59" t="str">
        <f>'1'!T12</f>
        <v>Канализация</v>
      </c>
      <c r="U12" s="60"/>
      <c r="V12" s="27" t="s">
        <v>10</v>
      </c>
    </row>
    <row r="13" spans="2:22" x14ac:dyDescent="0.25">
      <c r="C13" s="9" t="s">
        <v>2</v>
      </c>
      <c r="D13" s="57"/>
      <c r="E13" s="58"/>
      <c r="F13" s="11"/>
      <c r="G13" s="7"/>
      <c r="H13" s="11"/>
      <c r="I13" s="7"/>
      <c r="J13" s="11"/>
      <c r="K13" s="7"/>
      <c r="L13" s="11"/>
      <c r="M13" s="7"/>
      <c r="N13" s="11"/>
      <c r="O13" s="7"/>
      <c r="P13" s="57"/>
      <c r="Q13" s="58"/>
      <c r="R13" s="57"/>
      <c r="S13" s="58"/>
      <c r="T13" s="57"/>
      <c r="U13" s="58"/>
      <c r="V13" s="30">
        <f>V14</f>
        <v>-70935.240000000005</v>
      </c>
    </row>
    <row r="14" spans="2:22" ht="47.25" x14ac:dyDescent="0.25">
      <c r="C14" s="10" t="str">
        <f>'1'!C14</f>
        <v>Остаток с предыдущего периода (задолженность(-), переплата (+)) на 01.01.2016г.</v>
      </c>
      <c r="D14" s="57"/>
      <c r="E14" s="58"/>
      <c r="F14" s="11">
        <v>-14237.6</v>
      </c>
      <c r="G14" s="7"/>
      <c r="H14" s="11">
        <v>0</v>
      </c>
      <c r="I14" s="7"/>
      <c r="J14" s="11">
        <v>-2062.16</v>
      </c>
      <c r="K14" s="7"/>
      <c r="L14" s="11">
        <v>-36987.1</v>
      </c>
      <c r="M14" s="7"/>
      <c r="N14" s="11">
        <v>-702.3</v>
      </c>
      <c r="O14" s="7"/>
      <c r="P14" s="57">
        <v>-1988.78</v>
      </c>
      <c r="Q14" s="58"/>
      <c r="R14" s="57">
        <v>-10620.81</v>
      </c>
      <c r="S14" s="58"/>
      <c r="T14" s="57">
        <v>-4336.49</v>
      </c>
      <c r="U14" s="58"/>
      <c r="V14" s="14">
        <f>F14+H14+J14+L14+N14+P14+Q14+R14+S14+T14+U14</f>
        <v>-70935.240000000005</v>
      </c>
    </row>
    <row r="15" spans="2:22" x14ac:dyDescent="0.25">
      <c r="C15" s="9" t="s">
        <v>3</v>
      </c>
      <c r="D15" s="57"/>
      <c r="E15" s="58"/>
      <c r="F15" s="11">
        <v>137918.64000000001</v>
      </c>
      <c r="G15" s="7"/>
      <c r="H15" s="14"/>
      <c r="I15" s="24"/>
      <c r="J15" s="14">
        <v>14956.37</v>
      </c>
      <c r="K15" s="7"/>
      <c r="L15" s="11">
        <v>363426.66</v>
      </c>
      <c r="M15" s="7"/>
      <c r="N15" s="11">
        <v>9000</v>
      </c>
      <c r="O15" s="7"/>
      <c r="P15" s="61">
        <f>11751.49+489.54</f>
        <v>12241.03</v>
      </c>
      <c r="Q15" s="62"/>
      <c r="R15" s="61">
        <f>52856.81+2126.6</f>
        <v>54983.409999999996</v>
      </c>
      <c r="S15" s="62"/>
      <c r="T15" s="61">
        <f>14596.15+9957.92</f>
        <v>24554.07</v>
      </c>
      <c r="U15" s="62"/>
      <c r="V15" s="11">
        <f>F15+H15+J15+L15+N15+P15+Q15+R15+S15+T15+U15</f>
        <v>617080.17999999993</v>
      </c>
    </row>
    <row r="16" spans="2:22" x14ac:dyDescent="0.25">
      <c r="C16" s="9" t="s">
        <v>4</v>
      </c>
      <c r="D16" s="57"/>
      <c r="E16" s="58"/>
      <c r="F16" s="11">
        <v>141920.26999999999</v>
      </c>
      <c r="G16" s="7"/>
      <c r="H16" s="14"/>
      <c r="I16" s="24"/>
      <c r="J16" s="14">
        <v>16186.19</v>
      </c>
      <c r="K16" s="7"/>
      <c r="L16" s="11">
        <v>373059.12</v>
      </c>
      <c r="M16" s="7"/>
      <c r="N16" s="14">
        <v>9025.34</v>
      </c>
      <c r="O16" s="7"/>
      <c r="P16" s="61">
        <f>12890.88+328.73</f>
        <v>13219.609999999999</v>
      </c>
      <c r="Q16" s="62"/>
      <c r="R16" s="61">
        <f>59425.26+1362.27</f>
        <v>60787.53</v>
      </c>
      <c r="S16" s="62"/>
      <c r="T16" s="61">
        <f>16101.79+10967.16</f>
        <v>27068.95</v>
      </c>
      <c r="U16" s="62"/>
      <c r="V16" s="12">
        <f t="shared" ref="V16:V17" si="0">F16+H16+J16+L16+N16+P16+Q16+R16+S16+T16+U16</f>
        <v>641267.00999999989</v>
      </c>
    </row>
    <row r="17" spans="2:22" ht="31.5" x14ac:dyDescent="0.25">
      <c r="C17" s="10" t="s">
        <v>5</v>
      </c>
      <c r="D17" s="57"/>
      <c r="E17" s="58"/>
      <c r="F17" s="14">
        <f>P44+P50</f>
        <v>151475.91385320001</v>
      </c>
      <c r="G17" s="7"/>
      <c r="H17" s="11">
        <f>P52</f>
        <v>0</v>
      </c>
      <c r="I17" s="7"/>
      <c r="J17" s="14">
        <f>J15+18637.28</f>
        <v>33593.65</v>
      </c>
      <c r="K17" s="7"/>
      <c r="L17" s="11">
        <f>(D8*L20*6)+(D8*L21*6)</f>
        <v>363544.07999999996</v>
      </c>
      <c r="M17" s="7"/>
      <c r="N17" s="14">
        <f>'1'!N17</f>
        <v>11336.326999999999</v>
      </c>
      <c r="O17" s="7"/>
      <c r="P17" s="61">
        <f>P15+Q15+114670.71</f>
        <v>126911.74</v>
      </c>
      <c r="Q17" s="62"/>
      <c r="R17" s="61">
        <f>R15+S15</f>
        <v>54983.409999999996</v>
      </c>
      <c r="S17" s="62"/>
      <c r="T17" s="61">
        <f>T15+U15</f>
        <v>24554.07</v>
      </c>
      <c r="U17" s="58"/>
      <c r="V17" s="12">
        <f t="shared" si="0"/>
        <v>766399.19085319992</v>
      </c>
    </row>
    <row r="18" spans="2:22" ht="31.5" x14ac:dyDescent="0.25">
      <c r="C18" s="10" t="str">
        <f>'1'!C18</f>
        <v>Текущий остаток (задолженность (-), переплата (+)) на 31.12.2016 г.</v>
      </c>
      <c r="D18" s="57"/>
      <c r="E18" s="58"/>
      <c r="F18" s="33">
        <f>F16-F15+F14</f>
        <v>-10235.970000000025</v>
      </c>
      <c r="G18" s="32"/>
      <c r="H18" s="31">
        <f>H16-H15+H14</f>
        <v>0</v>
      </c>
      <c r="I18" s="40"/>
      <c r="J18" s="31">
        <f>J16-J15+J14</f>
        <v>-832.34000000000015</v>
      </c>
      <c r="K18" s="40"/>
      <c r="L18" s="31">
        <f>L16-L15+L14</f>
        <v>-27354.639999999978</v>
      </c>
      <c r="M18" s="40"/>
      <c r="N18" s="31">
        <f>N16-N15+N14</f>
        <v>-676.95999999999981</v>
      </c>
      <c r="O18" s="40"/>
      <c r="P18" s="55">
        <f t="shared" ref="P18:V18" si="1">P16-P15+P14</f>
        <v>-1010.2000000000019</v>
      </c>
      <c r="Q18" s="56"/>
      <c r="R18" s="55">
        <f t="shared" si="1"/>
        <v>-4816.6899999999969</v>
      </c>
      <c r="S18" s="56"/>
      <c r="T18" s="55">
        <f t="shared" si="1"/>
        <v>-1821.6099999999988</v>
      </c>
      <c r="U18" s="56"/>
      <c r="V18" s="31">
        <f t="shared" si="1"/>
        <v>-46748.410000000047</v>
      </c>
    </row>
    <row r="19" spans="2:22" x14ac:dyDescent="0.25">
      <c r="C19" s="9" t="s">
        <v>6</v>
      </c>
      <c r="D19" s="57"/>
      <c r="E19" s="58"/>
      <c r="F19" s="11"/>
      <c r="G19" s="7"/>
      <c r="H19" s="11"/>
      <c r="I19" s="7"/>
      <c r="J19" s="11"/>
      <c r="K19" s="7"/>
      <c r="L19" s="11"/>
      <c r="M19" s="7"/>
      <c r="N19" s="11"/>
      <c r="O19" s="7"/>
      <c r="P19" s="57"/>
      <c r="Q19" s="58"/>
      <c r="R19" s="57"/>
      <c r="S19" s="58"/>
      <c r="T19" s="57"/>
      <c r="U19" s="58"/>
      <c r="V19" s="30">
        <f>F18+H18+J18+L18+N18+P18+Q18+R18+S18+T18+U18</f>
        <v>-46748.41</v>
      </c>
    </row>
    <row r="20" spans="2:22" x14ac:dyDescent="0.25">
      <c r="C20" s="9" t="str">
        <f>'1'!C20</f>
        <v>Тариф (руб/м²), 1-е полугодие</v>
      </c>
      <c r="D20" s="57"/>
      <c r="E20" s="58"/>
      <c r="F20" s="13">
        <f>'1'!F20</f>
        <v>15.31</v>
      </c>
      <c r="G20" s="7"/>
      <c r="H20" s="11">
        <f>'1'!H20</f>
        <v>37.700000000000003</v>
      </c>
      <c r="I20" s="7"/>
      <c r="J20" s="13">
        <f>'1'!J20</f>
        <v>44.32</v>
      </c>
      <c r="K20" s="7"/>
      <c r="L20" s="11">
        <v>39.770000000000003</v>
      </c>
      <c r="M20" s="7"/>
      <c r="N20" s="11">
        <f>'1'!N20</f>
        <v>50</v>
      </c>
      <c r="O20" s="7"/>
      <c r="P20" s="57" t="str">
        <f>'1'!P20</f>
        <v xml:space="preserve">15,02 руб./м3 </v>
      </c>
      <c r="Q20" s="58"/>
      <c r="R20" s="57" t="str">
        <f>'1'!R20</f>
        <v>99,55 руб./м3</v>
      </c>
      <c r="S20" s="58"/>
      <c r="T20" s="57" t="str">
        <f>'1'!T20</f>
        <v>18,66 руб./м3</v>
      </c>
      <c r="U20" s="58"/>
      <c r="V20" s="11"/>
    </row>
    <row r="21" spans="2:22" x14ac:dyDescent="0.25">
      <c r="C21" s="9" t="str">
        <f>'1'!C21</f>
        <v>Тариф (руб/м²), 2-е полугодие</v>
      </c>
      <c r="D21" s="50"/>
      <c r="E21" s="51"/>
      <c r="F21" s="21">
        <f>'1'!F21</f>
        <v>15.31</v>
      </c>
      <c r="G21" s="7"/>
      <c r="H21" s="21"/>
      <c r="I21" s="7"/>
      <c r="J21" s="21">
        <f>'1'!J21</f>
        <v>44.32</v>
      </c>
      <c r="K21" s="7"/>
      <c r="L21" s="21">
        <f>'17'!L21</f>
        <v>40.909999999999997</v>
      </c>
      <c r="M21" s="7"/>
      <c r="N21" s="21">
        <f>'1'!N21</f>
        <v>50</v>
      </c>
      <c r="O21" s="7"/>
      <c r="P21" s="57" t="str">
        <f>'1'!P21:Q21</f>
        <v>15,63 руб./м³</v>
      </c>
      <c r="Q21" s="58"/>
      <c r="R21" s="57" t="str">
        <f>'1'!R21:S21</f>
        <v>102,59 руб./м³</v>
      </c>
      <c r="S21" s="58"/>
      <c r="T21" s="57" t="str">
        <f>'1'!T21:U21</f>
        <v>19,41 руб./м³</v>
      </c>
      <c r="U21" s="58"/>
      <c r="V21" s="21"/>
    </row>
    <row r="22" spans="2:22" x14ac:dyDescent="0.25">
      <c r="C22" s="9" t="s">
        <v>44</v>
      </c>
      <c r="D22" s="57"/>
      <c r="E22" s="58"/>
      <c r="F22" s="18">
        <f>N44+N50</f>
        <v>16.808246099999998</v>
      </c>
      <c r="G22" s="7"/>
      <c r="H22" s="11"/>
      <c r="I22" s="7"/>
      <c r="J22" s="11"/>
      <c r="K22" s="7"/>
      <c r="L22" s="11"/>
      <c r="M22" s="7"/>
      <c r="N22" s="11"/>
      <c r="O22" s="7"/>
      <c r="P22" s="57"/>
      <c r="Q22" s="58"/>
      <c r="R22" s="57"/>
      <c r="S22" s="58"/>
      <c r="T22" s="57"/>
      <c r="U22" s="58"/>
      <c r="V22" s="11"/>
    </row>
    <row r="24" spans="2:22" x14ac:dyDescent="0.25">
      <c r="C24" s="5" t="s">
        <v>11</v>
      </c>
    </row>
    <row r="25" spans="2:22" x14ac:dyDescent="0.25">
      <c r="C25" s="1" t="s">
        <v>12</v>
      </c>
      <c r="J25" s="34">
        <f>V19/V15*100</f>
        <v>-7.5757432364786066</v>
      </c>
      <c r="K25" s="35" t="s">
        <v>37</v>
      </c>
    </row>
    <row r="28" spans="2:22" ht="33" customHeight="1" x14ac:dyDescent="0.25">
      <c r="B28" s="27" t="s">
        <v>13</v>
      </c>
      <c r="C28" s="72" t="s">
        <v>14</v>
      </c>
      <c r="D28" s="72"/>
      <c r="E28" s="72"/>
      <c r="F28" s="72"/>
      <c r="G28" s="72"/>
      <c r="H28" s="72"/>
      <c r="I28" s="72"/>
      <c r="J28" s="72"/>
      <c r="K28" s="72"/>
      <c r="L28" s="73" t="s">
        <v>45</v>
      </c>
      <c r="M28" s="73"/>
      <c r="N28" s="73" t="s">
        <v>46</v>
      </c>
      <c r="O28" s="73"/>
      <c r="P28" s="27" t="s">
        <v>28</v>
      </c>
    </row>
    <row r="29" spans="2:22" x14ac:dyDescent="0.25">
      <c r="B29" s="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4"/>
    </row>
    <row r="30" spans="2:22" x14ac:dyDescent="0.25">
      <c r="B30" s="90" t="s">
        <v>7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</row>
    <row r="31" spans="2:22" x14ac:dyDescent="0.25">
      <c r="B31" s="4">
        <v>1</v>
      </c>
      <c r="C31" s="76" t="s">
        <v>15</v>
      </c>
      <c r="D31" s="76"/>
      <c r="E31" s="76"/>
      <c r="F31" s="76"/>
      <c r="G31" s="76"/>
      <c r="H31" s="76"/>
      <c r="I31" s="76"/>
      <c r="J31" s="76"/>
      <c r="K31" s="76"/>
      <c r="L31" s="74">
        <v>751</v>
      </c>
      <c r="M31" s="74"/>
      <c r="N31" s="77">
        <f>'1'!N31:O31</f>
        <v>3.5</v>
      </c>
      <c r="O31" s="77"/>
      <c r="P31" s="17">
        <f>L31*N31*12</f>
        <v>31542</v>
      </c>
    </row>
    <row r="32" spans="2:22" x14ac:dyDescent="0.25">
      <c r="B32" s="4">
        <v>2</v>
      </c>
      <c r="C32" s="76" t="s">
        <v>34</v>
      </c>
      <c r="D32" s="76"/>
      <c r="E32" s="76"/>
      <c r="F32" s="76"/>
      <c r="G32" s="76"/>
      <c r="H32" s="76"/>
      <c r="I32" s="76"/>
      <c r="J32" s="76"/>
      <c r="K32" s="76"/>
      <c r="L32" s="74">
        <v>751</v>
      </c>
      <c r="M32" s="74"/>
      <c r="N32" s="77">
        <f>'1'!N32:O32</f>
        <v>0.98752150000000005</v>
      </c>
      <c r="O32" s="77"/>
      <c r="P32" s="17">
        <f t="shared" ref="P32:P43" si="2">L32*N32*12</f>
        <v>8899.5437579999998</v>
      </c>
    </row>
    <row r="33" spans="2:16" x14ac:dyDescent="0.25">
      <c r="B33" s="4">
        <v>3</v>
      </c>
      <c r="C33" s="76" t="s">
        <v>16</v>
      </c>
      <c r="D33" s="76"/>
      <c r="E33" s="76"/>
      <c r="F33" s="76"/>
      <c r="G33" s="76"/>
      <c r="H33" s="76"/>
      <c r="I33" s="76"/>
      <c r="J33" s="76"/>
      <c r="K33" s="76"/>
      <c r="L33" s="74">
        <v>751</v>
      </c>
      <c r="M33" s="74"/>
      <c r="N33" s="77">
        <f>'1'!N33:O33</f>
        <v>2.8257476000000001</v>
      </c>
      <c r="O33" s="77"/>
      <c r="P33" s="17">
        <f t="shared" si="2"/>
        <v>25465.637371199999</v>
      </c>
    </row>
    <row r="34" spans="2:16" x14ac:dyDescent="0.25">
      <c r="B34" s="4">
        <v>4</v>
      </c>
      <c r="C34" s="76" t="s">
        <v>17</v>
      </c>
      <c r="D34" s="76"/>
      <c r="E34" s="76"/>
      <c r="F34" s="76"/>
      <c r="G34" s="76"/>
      <c r="H34" s="76"/>
      <c r="I34" s="76"/>
      <c r="J34" s="76"/>
      <c r="K34" s="76"/>
      <c r="L34" s="74">
        <v>751</v>
      </c>
      <c r="M34" s="74"/>
      <c r="N34" s="77">
        <f>'1'!N34:O34</f>
        <v>1</v>
      </c>
      <c r="O34" s="77"/>
      <c r="P34" s="17">
        <f t="shared" si="2"/>
        <v>9012</v>
      </c>
    </row>
    <row r="35" spans="2:16" x14ac:dyDescent="0.25">
      <c r="B35" s="4">
        <v>5</v>
      </c>
      <c r="C35" s="76" t="s">
        <v>18</v>
      </c>
      <c r="D35" s="76"/>
      <c r="E35" s="76"/>
      <c r="F35" s="76"/>
      <c r="G35" s="76"/>
      <c r="H35" s="76"/>
      <c r="I35" s="76"/>
      <c r="J35" s="76"/>
      <c r="K35" s="76"/>
      <c r="L35" s="74">
        <v>751</v>
      </c>
      <c r="M35" s="74"/>
      <c r="N35" s="77">
        <f>'1'!N35:O35</f>
        <v>2</v>
      </c>
      <c r="O35" s="77"/>
      <c r="P35" s="17">
        <f t="shared" si="2"/>
        <v>18024</v>
      </c>
    </row>
    <row r="36" spans="2:16" x14ac:dyDescent="0.25">
      <c r="B36" s="4">
        <v>6</v>
      </c>
      <c r="C36" s="76" t="s">
        <v>24</v>
      </c>
      <c r="D36" s="76"/>
      <c r="E36" s="76"/>
      <c r="F36" s="76"/>
      <c r="G36" s="76"/>
      <c r="H36" s="76"/>
      <c r="I36" s="76"/>
      <c r="J36" s="76"/>
      <c r="K36" s="76"/>
      <c r="L36" s="74">
        <v>751</v>
      </c>
      <c r="M36" s="74"/>
      <c r="N36" s="77">
        <f>'1'!N36:O36</f>
        <v>3</v>
      </c>
      <c r="O36" s="77"/>
      <c r="P36" s="17">
        <f t="shared" si="2"/>
        <v>27036</v>
      </c>
    </row>
    <row r="37" spans="2:16" x14ac:dyDescent="0.25">
      <c r="B37" s="4">
        <v>7</v>
      </c>
      <c r="C37" s="76" t="s">
        <v>19</v>
      </c>
      <c r="D37" s="76"/>
      <c r="E37" s="76"/>
      <c r="F37" s="76"/>
      <c r="G37" s="76"/>
      <c r="H37" s="76"/>
      <c r="I37" s="76"/>
      <c r="J37" s="76"/>
      <c r="K37" s="76"/>
      <c r="L37" s="74">
        <v>751</v>
      </c>
      <c r="M37" s="74"/>
      <c r="N37" s="77">
        <f>'1'!N37:O37</f>
        <v>0.5</v>
      </c>
      <c r="O37" s="77"/>
      <c r="P37" s="17">
        <f t="shared" si="2"/>
        <v>4506</v>
      </c>
    </row>
    <row r="38" spans="2:16" x14ac:dyDescent="0.25">
      <c r="B38" s="4">
        <v>8</v>
      </c>
      <c r="C38" s="76" t="s">
        <v>20</v>
      </c>
      <c r="D38" s="76"/>
      <c r="E38" s="76"/>
      <c r="F38" s="76"/>
      <c r="G38" s="76"/>
      <c r="H38" s="76"/>
      <c r="I38" s="76"/>
      <c r="J38" s="76"/>
      <c r="K38" s="76"/>
      <c r="L38" s="74">
        <v>751</v>
      </c>
      <c r="M38" s="74"/>
      <c r="N38" s="77">
        <f>'1'!N38:O38</f>
        <v>1.694977</v>
      </c>
      <c r="O38" s="77"/>
      <c r="P38" s="17">
        <f t="shared" si="2"/>
        <v>15275.132723999999</v>
      </c>
    </row>
    <row r="39" spans="2:16" x14ac:dyDescent="0.25">
      <c r="B39" s="4">
        <v>9</v>
      </c>
      <c r="C39" s="76" t="s">
        <v>84</v>
      </c>
      <c r="D39" s="76"/>
      <c r="E39" s="76"/>
      <c r="F39" s="76"/>
      <c r="G39" s="76"/>
      <c r="H39" s="76"/>
      <c r="I39" s="76"/>
      <c r="J39" s="76"/>
      <c r="K39" s="76"/>
      <c r="L39" s="74">
        <v>751</v>
      </c>
      <c r="M39" s="74"/>
      <c r="N39" s="77">
        <f>'1'!N39:O39</f>
        <v>0.1</v>
      </c>
      <c r="O39" s="77"/>
      <c r="P39" s="17">
        <f t="shared" si="2"/>
        <v>901.2</v>
      </c>
    </row>
    <row r="40" spans="2:16" x14ac:dyDescent="0.25">
      <c r="B40" s="4">
        <v>10</v>
      </c>
      <c r="C40" s="76" t="s">
        <v>21</v>
      </c>
      <c r="D40" s="76"/>
      <c r="E40" s="76"/>
      <c r="F40" s="76"/>
      <c r="G40" s="76"/>
      <c r="H40" s="76"/>
      <c r="I40" s="76"/>
      <c r="J40" s="76"/>
      <c r="K40" s="76"/>
      <c r="L40" s="74">
        <v>751</v>
      </c>
      <c r="M40" s="74"/>
      <c r="N40" s="77">
        <f>'1'!N40:O40</f>
        <v>0.2</v>
      </c>
      <c r="O40" s="77"/>
      <c r="P40" s="17">
        <f t="shared" si="2"/>
        <v>1802.4</v>
      </c>
    </row>
    <row r="41" spans="2:16" x14ac:dyDescent="0.25">
      <c r="B41" s="4">
        <v>11</v>
      </c>
      <c r="C41" s="76" t="s">
        <v>22</v>
      </c>
      <c r="D41" s="76"/>
      <c r="E41" s="76"/>
      <c r="F41" s="76"/>
      <c r="G41" s="76"/>
      <c r="H41" s="76"/>
      <c r="I41" s="76"/>
      <c r="J41" s="76"/>
      <c r="K41" s="76"/>
      <c r="L41" s="74">
        <v>751</v>
      </c>
      <c r="M41" s="74"/>
      <c r="N41" s="77">
        <f>'1'!N41:O41</f>
        <v>0.5</v>
      </c>
      <c r="O41" s="77"/>
      <c r="P41" s="17">
        <f t="shared" si="2"/>
        <v>4506</v>
      </c>
    </row>
    <row r="42" spans="2:16" hidden="1" x14ac:dyDescent="0.25">
      <c r="B42" s="4">
        <v>12</v>
      </c>
      <c r="C42" s="76" t="s">
        <v>23</v>
      </c>
      <c r="D42" s="76"/>
      <c r="E42" s="76"/>
      <c r="F42" s="76"/>
      <c r="G42" s="76"/>
      <c r="H42" s="76"/>
      <c r="I42" s="76"/>
      <c r="J42" s="76"/>
      <c r="K42" s="76"/>
      <c r="L42" s="74">
        <v>751</v>
      </c>
      <c r="M42" s="74"/>
      <c r="N42" s="77">
        <f>'1'!N42:O42</f>
        <v>0</v>
      </c>
      <c r="O42" s="77"/>
      <c r="P42" s="17">
        <f t="shared" si="2"/>
        <v>0</v>
      </c>
    </row>
    <row r="43" spans="2:16" x14ac:dyDescent="0.25">
      <c r="B43" s="4">
        <v>12</v>
      </c>
      <c r="C43" s="76" t="s">
        <v>25</v>
      </c>
      <c r="D43" s="76"/>
      <c r="E43" s="76"/>
      <c r="F43" s="76"/>
      <c r="G43" s="76"/>
      <c r="H43" s="76"/>
      <c r="I43" s="76"/>
      <c r="J43" s="76"/>
      <c r="K43" s="76"/>
      <c r="L43" s="74">
        <v>751</v>
      </c>
      <c r="M43" s="74"/>
      <c r="N43" s="77">
        <f>'1'!N43:O43</f>
        <v>0.5</v>
      </c>
      <c r="O43" s="77"/>
      <c r="P43" s="17">
        <f t="shared" si="2"/>
        <v>4506</v>
      </c>
    </row>
    <row r="44" spans="2:16" x14ac:dyDescent="0.25">
      <c r="B44" s="38"/>
      <c r="C44" s="78" t="s">
        <v>26</v>
      </c>
      <c r="D44" s="78"/>
      <c r="E44" s="78"/>
      <c r="F44" s="78"/>
      <c r="G44" s="78"/>
      <c r="H44" s="78"/>
      <c r="I44" s="78"/>
      <c r="J44" s="78"/>
      <c r="K44" s="78"/>
      <c r="L44" s="79">
        <v>751</v>
      </c>
      <c r="M44" s="79"/>
      <c r="N44" s="91">
        <f>SUM(N31:O43)</f>
        <v>16.808246099999998</v>
      </c>
      <c r="O44" s="91"/>
      <c r="P44" s="39">
        <f>SUM(P31:P43)</f>
        <v>151475.91385320001</v>
      </c>
    </row>
    <row r="45" spans="2:16" hidden="1" x14ac:dyDescent="0.25">
      <c r="B45" s="90" t="s">
        <v>27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</row>
    <row r="46" spans="2:16" hidden="1" x14ac:dyDescent="0.25">
      <c r="B46" s="4">
        <v>1</v>
      </c>
      <c r="C46" s="82" t="s">
        <v>73</v>
      </c>
      <c r="D46" s="83"/>
      <c r="E46" s="83"/>
      <c r="F46" s="83"/>
      <c r="G46" s="83"/>
      <c r="H46" s="83"/>
      <c r="I46" s="83"/>
      <c r="J46" s="83"/>
      <c r="K46" s="84"/>
      <c r="L46" s="74">
        <v>751</v>
      </c>
      <c r="M46" s="74"/>
      <c r="N46" s="74"/>
      <c r="O46" s="74"/>
      <c r="P46" s="4">
        <f>L46*N46*6</f>
        <v>0</v>
      </c>
    </row>
    <row r="47" spans="2:16" hidden="1" x14ac:dyDescent="0.25">
      <c r="B47" s="4">
        <v>2</v>
      </c>
      <c r="C47" s="82" t="s">
        <v>74</v>
      </c>
      <c r="D47" s="83"/>
      <c r="E47" s="83"/>
      <c r="F47" s="83"/>
      <c r="G47" s="83"/>
      <c r="H47" s="83"/>
      <c r="I47" s="83"/>
      <c r="J47" s="83"/>
      <c r="K47" s="84"/>
      <c r="L47" s="74">
        <v>751</v>
      </c>
      <c r="M47" s="74"/>
      <c r="N47" s="74"/>
      <c r="O47" s="74"/>
      <c r="P47" s="17">
        <f>L47*N47*6</f>
        <v>0</v>
      </c>
    </row>
    <row r="48" spans="2:16" hidden="1" x14ac:dyDescent="0.25">
      <c r="B48" s="4">
        <v>3</v>
      </c>
      <c r="C48" s="82" t="s">
        <v>89</v>
      </c>
      <c r="D48" s="83"/>
      <c r="E48" s="83"/>
      <c r="F48" s="83"/>
      <c r="G48" s="83"/>
      <c r="H48" s="83"/>
      <c r="I48" s="83"/>
      <c r="J48" s="83"/>
      <c r="K48" s="84"/>
      <c r="L48" s="74">
        <v>751</v>
      </c>
      <c r="M48" s="74"/>
      <c r="N48" s="85"/>
      <c r="O48" s="85"/>
      <c r="P48" s="17"/>
    </row>
    <row r="49" spans="2:16" hidden="1" x14ac:dyDescent="0.25">
      <c r="B49" s="4">
        <v>4</v>
      </c>
      <c r="C49" s="74"/>
      <c r="D49" s="74"/>
      <c r="E49" s="74"/>
      <c r="F49" s="74"/>
      <c r="G49" s="74"/>
      <c r="H49" s="74"/>
      <c r="I49" s="74"/>
      <c r="J49" s="74"/>
      <c r="K49" s="74"/>
      <c r="L49" s="74">
        <v>751</v>
      </c>
      <c r="M49" s="74"/>
      <c r="N49" s="85"/>
      <c r="O49" s="85"/>
      <c r="P49" s="17"/>
    </row>
    <row r="50" spans="2:16" hidden="1" x14ac:dyDescent="0.25">
      <c r="B50" s="38"/>
      <c r="C50" s="86" t="s">
        <v>29</v>
      </c>
      <c r="D50" s="87"/>
      <c r="E50" s="87"/>
      <c r="F50" s="87"/>
      <c r="G50" s="87"/>
      <c r="H50" s="87"/>
      <c r="I50" s="87"/>
      <c r="J50" s="87"/>
      <c r="K50" s="88"/>
      <c r="L50" s="79">
        <v>751</v>
      </c>
      <c r="M50" s="79"/>
      <c r="N50" s="89">
        <f>SUM(N46:O49)</f>
        <v>0</v>
      </c>
      <c r="O50" s="89"/>
      <c r="P50" s="39">
        <f>SUM(P46:P49)</f>
        <v>0</v>
      </c>
    </row>
    <row r="51" spans="2:16" hidden="1" x14ac:dyDescent="0.25">
      <c r="B51" s="90" t="s">
        <v>30</v>
      </c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</row>
    <row r="52" spans="2:16" hidden="1" x14ac:dyDescent="0.25">
      <c r="B52" s="38"/>
      <c r="C52" s="86" t="s">
        <v>31</v>
      </c>
      <c r="D52" s="87"/>
      <c r="E52" s="87"/>
      <c r="F52" s="87"/>
      <c r="G52" s="87"/>
      <c r="H52" s="87"/>
      <c r="I52" s="87"/>
      <c r="J52" s="87"/>
      <c r="K52" s="88"/>
      <c r="L52" s="79">
        <v>751</v>
      </c>
      <c r="M52" s="79"/>
      <c r="N52" s="79">
        <v>0</v>
      </c>
      <c r="O52" s="79"/>
      <c r="P52" s="38">
        <v>0</v>
      </c>
    </row>
    <row r="55" spans="2:16" x14ac:dyDescent="0.25">
      <c r="C55" s="1" t="s">
        <v>38</v>
      </c>
    </row>
    <row r="56" spans="2:16" x14ac:dyDescent="0.25">
      <c r="C56" s="1" t="s">
        <v>39</v>
      </c>
    </row>
    <row r="57" spans="2:16" x14ac:dyDescent="0.25">
      <c r="C57" s="4" t="s">
        <v>93</v>
      </c>
      <c r="D57" s="22">
        <f>N44</f>
        <v>16.808246099999998</v>
      </c>
    </row>
    <row r="60" spans="2:16" x14ac:dyDescent="0.25">
      <c r="C60" s="1" t="s">
        <v>40</v>
      </c>
      <c r="D60" s="2"/>
      <c r="E60" s="2"/>
      <c r="F60" s="2"/>
      <c r="G60" s="2"/>
      <c r="J60" s="1" t="s">
        <v>41</v>
      </c>
    </row>
    <row r="63" spans="2:16" ht="24.75" customHeight="1" x14ac:dyDescent="0.25">
      <c r="C63" s="1" t="s">
        <v>42</v>
      </c>
      <c r="D63" s="2"/>
      <c r="E63" s="2"/>
      <c r="F63" s="1" t="s">
        <v>43</v>
      </c>
    </row>
    <row r="64" spans="2:16" ht="25.5" customHeight="1" x14ac:dyDescent="0.25">
      <c r="D64" s="2"/>
      <c r="E64" s="2"/>
      <c r="F64" s="1" t="s">
        <v>43</v>
      </c>
    </row>
    <row r="65" spans="4:6" ht="24.75" customHeight="1" x14ac:dyDescent="0.25">
      <c r="D65" s="2"/>
      <c r="E65" s="2"/>
      <c r="F65" s="1" t="s">
        <v>43</v>
      </c>
    </row>
  </sheetData>
  <mergeCells count="115">
    <mergeCell ref="B51:P51"/>
    <mergeCell ref="C52:K52"/>
    <mergeCell ref="L52:M52"/>
    <mergeCell ref="N52:O52"/>
    <mergeCell ref="C49:K49"/>
    <mergeCell ref="L49:M49"/>
    <mergeCell ref="N49:O49"/>
    <mergeCell ref="C50:K50"/>
    <mergeCell ref="L50:M50"/>
    <mergeCell ref="N50:O50"/>
    <mergeCell ref="B45:P45"/>
    <mergeCell ref="C46:K46"/>
    <mergeCell ref="L46:M46"/>
    <mergeCell ref="N46:O46"/>
    <mergeCell ref="C47:K47"/>
    <mergeCell ref="L47:M47"/>
    <mergeCell ref="N47:O47"/>
    <mergeCell ref="C48:K48"/>
    <mergeCell ref="L48:M48"/>
    <mergeCell ref="N48:O48"/>
    <mergeCell ref="C42:K42"/>
    <mergeCell ref="L42:M42"/>
    <mergeCell ref="N42:O42"/>
    <mergeCell ref="C43:K43"/>
    <mergeCell ref="L43:M43"/>
    <mergeCell ref="N43:O43"/>
    <mergeCell ref="C44:K44"/>
    <mergeCell ref="L44:M44"/>
    <mergeCell ref="N44:O44"/>
    <mergeCell ref="C39:K39"/>
    <mergeCell ref="L39:M39"/>
    <mergeCell ref="N39:O39"/>
    <mergeCell ref="C40:K40"/>
    <mergeCell ref="L40:M40"/>
    <mergeCell ref="N40:O40"/>
    <mergeCell ref="C41:K41"/>
    <mergeCell ref="L41:M41"/>
    <mergeCell ref="N41:O41"/>
    <mergeCell ref="C36:K36"/>
    <mergeCell ref="L36:M36"/>
    <mergeCell ref="N36:O36"/>
    <mergeCell ref="C37:K37"/>
    <mergeCell ref="L37:M37"/>
    <mergeCell ref="N37:O37"/>
    <mergeCell ref="C38:K38"/>
    <mergeCell ref="L38:M38"/>
    <mergeCell ref="N38:O38"/>
    <mergeCell ref="C33:K33"/>
    <mergeCell ref="L33:M33"/>
    <mergeCell ref="N33:O33"/>
    <mergeCell ref="C34:K34"/>
    <mergeCell ref="L34:M34"/>
    <mergeCell ref="N34:O34"/>
    <mergeCell ref="C35:K35"/>
    <mergeCell ref="L35:M35"/>
    <mergeCell ref="N35:O35"/>
    <mergeCell ref="C29:K29"/>
    <mergeCell ref="L29:M29"/>
    <mergeCell ref="N29:O29"/>
    <mergeCell ref="B30:P30"/>
    <mergeCell ref="C31:K31"/>
    <mergeCell ref="L31:M31"/>
    <mergeCell ref="N31:O31"/>
    <mergeCell ref="C32:K32"/>
    <mergeCell ref="L32:M32"/>
    <mergeCell ref="N32:O32"/>
    <mergeCell ref="C28:K28"/>
    <mergeCell ref="L28:M28"/>
    <mergeCell ref="N28:O28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2:E22"/>
    <mergeCell ref="B2:V2"/>
    <mergeCell ref="B3:V3"/>
    <mergeCell ref="B4:V4"/>
    <mergeCell ref="P12:Q12"/>
    <mergeCell ref="P13:Q13"/>
    <mergeCell ref="P14:Q14"/>
    <mergeCell ref="P15:Q15"/>
    <mergeCell ref="P16:Q16"/>
    <mergeCell ref="T12:U12"/>
    <mergeCell ref="T13:U13"/>
    <mergeCell ref="T14:U14"/>
    <mergeCell ref="T15:U15"/>
    <mergeCell ref="T16:U16"/>
    <mergeCell ref="T18:U18"/>
    <mergeCell ref="T19:U19"/>
    <mergeCell ref="T20:U20"/>
    <mergeCell ref="T22:U22"/>
    <mergeCell ref="P18:Q18"/>
    <mergeCell ref="P19:Q19"/>
    <mergeCell ref="P20:Q20"/>
    <mergeCell ref="P22:Q22"/>
    <mergeCell ref="R12:S12"/>
    <mergeCell ref="R13:S13"/>
    <mergeCell ref="R14:S14"/>
    <mergeCell ref="R15:S15"/>
    <mergeCell ref="R16:S16"/>
    <mergeCell ref="R18:S18"/>
    <mergeCell ref="R19:S19"/>
    <mergeCell ref="R20:S20"/>
    <mergeCell ref="R22:S22"/>
    <mergeCell ref="P17:Q17"/>
    <mergeCell ref="R17:S17"/>
    <mergeCell ref="T17:U17"/>
    <mergeCell ref="P21:Q21"/>
    <mergeCell ref="R21:S21"/>
    <mergeCell ref="T21:U21"/>
  </mergeCells>
  <pageMargins left="0.25" right="0.25" top="0.75" bottom="0.75" header="0.3" footer="0.3"/>
  <pageSetup paperSize="9" scale="4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B1:V65"/>
  <sheetViews>
    <sheetView view="pageBreakPreview" topLeftCell="A10" zoomScale="84" zoomScaleNormal="84" zoomScaleSheetLayoutView="84" workbookViewId="0">
      <selection activeCell="L17" sqref="L17"/>
    </sheetView>
  </sheetViews>
  <sheetFormatPr defaultRowHeight="15.75" x14ac:dyDescent="0.25"/>
  <cols>
    <col min="1" max="1" width="3" style="1" customWidth="1"/>
    <col min="2" max="2" width="4" style="1" bestFit="1" customWidth="1"/>
    <col min="3" max="3" width="37.42578125" style="1" customWidth="1"/>
    <col min="4" max="4" width="13.28515625" style="1" customWidth="1"/>
    <col min="5" max="5" width="11.7109375" style="1" customWidth="1"/>
    <col min="6" max="6" width="10.140625" style="1" customWidth="1"/>
    <col min="7" max="7" width="1.5703125" style="1" hidden="1" customWidth="1"/>
    <col min="8" max="8" width="12.5703125" style="1" hidden="1" customWidth="1"/>
    <col min="9" max="9" width="1.5703125" style="1" customWidth="1"/>
    <col min="10" max="10" width="11.140625" style="1" customWidth="1"/>
    <col min="11" max="11" width="2.28515625" style="1" customWidth="1"/>
    <col min="12" max="12" width="11.28515625" style="1" bestFit="1" customWidth="1"/>
    <col min="13" max="13" width="1.5703125" style="1" customWidth="1"/>
    <col min="14" max="14" width="15.7109375" style="1" customWidth="1"/>
    <col min="15" max="15" width="1.7109375" style="1" customWidth="1"/>
    <col min="16" max="16" width="12" style="1" customWidth="1"/>
    <col min="17" max="17" width="10.28515625" style="1" customWidth="1"/>
    <col min="18" max="18" width="11" style="1" customWidth="1"/>
    <col min="19" max="19" width="10.28515625" style="1" customWidth="1"/>
    <col min="20" max="20" width="14.42578125" style="1" customWidth="1"/>
    <col min="21" max="21" width="10.85546875" style="1" customWidth="1"/>
    <col min="22" max="22" width="11" style="1" customWidth="1"/>
    <col min="23" max="16384" width="9.140625" style="1"/>
  </cols>
  <sheetData>
    <row r="1" spans="2:22" ht="16.5" thickBot="1" x14ac:dyDescent="0.3"/>
    <row r="2" spans="2:22" x14ac:dyDescent="0.25">
      <c r="B2" s="63" t="s">
        <v>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5"/>
    </row>
    <row r="3" spans="2:22" x14ac:dyDescent="0.25">
      <c r="B3" s="66" t="str">
        <f>'1'!B3:V3</f>
        <v>с 1.01.2016 по 31.12.2016 г.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/>
    </row>
    <row r="4" spans="2:22" ht="16.5" thickBot="1" x14ac:dyDescent="0.3">
      <c r="B4" s="69" t="s">
        <v>32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1"/>
    </row>
    <row r="5" spans="2:22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2:22" x14ac:dyDescent="0.25">
      <c r="C6" s="29" t="s">
        <v>58</v>
      </c>
    </row>
    <row r="8" spans="2:22" x14ac:dyDescent="0.25">
      <c r="C8" s="1" t="s">
        <v>33</v>
      </c>
      <c r="D8" s="2">
        <v>733.7</v>
      </c>
    </row>
    <row r="9" spans="2:22" x14ac:dyDescent="0.25">
      <c r="C9" s="1" t="s">
        <v>35</v>
      </c>
      <c r="D9" s="3">
        <v>35</v>
      </c>
    </row>
    <row r="10" spans="2:22" x14ac:dyDescent="0.25">
      <c r="C10" s="1" t="s">
        <v>36</v>
      </c>
      <c r="D10" s="3">
        <v>16</v>
      </c>
    </row>
    <row r="12" spans="2:22" ht="63" x14ac:dyDescent="0.25">
      <c r="C12" s="27" t="s">
        <v>1</v>
      </c>
      <c r="D12" s="59" t="str">
        <f>'1'!D12:E12</f>
        <v>Содержание общего имущества дома</v>
      </c>
      <c r="E12" s="60"/>
      <c r="F12" s="27" t="s">
        <v>8</v>
      </c>
      <c r="G12" s="7"/>
      <c r="H12" s="27" t="s">
        <v>9</v>
      </c>
      <c r="I12" s="7"/>
      <c r="J12" s="28" t="str">
        <f>'1'!J12</f>
        <v>Вывоз ТБО (руб./чел.)</v>
      </c>
      <c r="K12" s="7"/>
      <c r="L12" s="28" t="s">
        <v>67</v>
      </c>
      <c r="M12" s="7"/>
      <c r="N12" s="28" t="str">
        <f>'1'!N12</f>
        <v>Обслуживание антены (руб./лиц.сч.)</v>
      </c>
      <c r="O12" s="8"/>
      <c r="P12" s="59" t="str">
        <f>'1'!P12</f>
        <v xml:space="preserve">Хол. вода </v>
      </c>
      <c r="Q12" s="60"/>
      <c r="R12" s="59" t="str">
        <f>'1'!R12</f>
        <v xml:space="preserve">Гор. вода </v>
      </c>
      <c r="S12" s="60"/>
      <c r="T12" s="59" t="str">
        <f>'1'!T12</f>
        <v>Канализация</v>
      </c>
      <c r="U12" s="60"/>
      <c r="V12" s="27" t="s">
        <v>10</v>
      </c>
    </row>
    <row r="13" spans="2:22" x14ac:dyDescent="0.25">
      <c r="C13" s="9" t="s">
        <v>2</v>
      </c>
      <c r="D13" s="57"/>
      <c r="E13" s="58"/>
      <c r="F13" s="11"/>
      <c r="G13" s="7"/>
      <c r="H13" s="11"/>
      <c r="I13" s="7"/>
      <c r="J13" s="11"/>
      <c r="K13" s="7"/>
      <c r="L13" s="11"/>
      <c r="M13" s="7"/>
      <c r="N13" s="11"/>
      <c r="O13" s="7"/>
      <c r="P13" s="57"/>
      <c r="Q13" s="58"/>
      <c r="R13" s="57"/>
      <c r="S13" s="58"/>
      <c r="T13" s="57"/>
      <c r="U13" s="58"/>
      <c r="V13" s="30">
        <f>V14</f>
        <v>-50070.93</v>
      </c>
    </row>
    <row r="14" spans="2:22" ht="47.25" x14ac:dyDescent="0.25">
      <c r="C14" s="10" t="str">
        <f>'1'!C14</f>
        <v>Остаток с предыдущего периода (задолженность(-), переплата (+)) на 01.01.2016г.</v>
      </c>
      <c r="D14" s="57"/>
      <c r="E14" s="58"/>
      <c r="F14" s="11">
        <v>-11817.02</v>
      </c>
      <c r="G14" s="7"/>
      <c r="H14" s="11"/>
      <c r="I14" s="7"/>
      <c r="J14" s="11">
        <v>-1490.47</v>
      </c>
      <c r="K14" s="7"/>
      <c r="L14" s="11">
        <v>-30755.360000000001</v>
      </c>
      <c r="M14" s="7"/>
      <c r="N14" s="11">
        <v>-575.34</v>
      </c>
      <c r="O14" s="7"/>
      <c r="P14" s="57">
        <v>-635.72</v>
      </c>
      <c r="Q14" s="58"/>
      <c r="R14" s="57">
        <v>-3385.98</v>
      </c>
      <c r="S14" s="58"/>
      <c r="T14" s="57">
        <v>-1411.04</v>
      </c>
      <c r="U14" s="58"/>
      <c r="V14" s="14">
        <f>F14+H14+J14+L14+N14+P14+Q14+R14+S14+T14+U14</f>
        <v>-50070.93</v>
      </c>
    </row>
    <row r="15" spans="2:22" x14ac:dyDescent="0.25">
      <c r="C15" s="9" t="s">
        <v>3</v>
      </c>
      <c r="D15" s="57"/>
      <c r="E15" s="58"/>
      <c r="F15" s="11">
        <v>136614.39999999999</v>
      </c>
      <c r="G15" s="7"/>
      <c r="H15" s="14"/>
      <c r="I15" s="7"/>
      <c r="J15" s="14">
        <v>16665.84</v>
      </c>
      <c r="K15" s="7"/>
      <c r="L15" s="11">
        <v>359983.7</v>
      </c>
      <c r="M15" s="7"/>
      <c r="N15" s="11">
        <v>7800</v>
      </c>
      <c r="O15" s="7"/>
      <c r="P15" s="61">
        <f>12559.2+163.17</f>
        <v>12722.37</v>
      </c>
      <c r="Q15" s="62"/>
      <c r="R15" s="61">
        <f>56439.8+708.87</f>
        <v>57148.670000000006</v>
      </c>
      <c r="S15" s="62"/>
      <c r="T15" s="61">
        <f>15599.56+10623.59</f>
        <v>26223.15</v>
      </c>
      <c r="U15" s="62"/>
      <c r="V15" s="11">
        <f>F15+H15+J15+L15+N15+P15+Q15+R15+S15+T15+U15</f>
        <v>617158.13000000012</v>
      </c>
    </row>
    <row r="16" spans="2:22" x14ac:dyDescent="0.25">
      <c r="C16" s="9" t="s">
        <v>4</v>
      </c>
      <c r="D16" s="57"/>
      <c r="E16" s="58"/>
      <c r="F16" s="11">
        <v>135043.09</v>
      </c>
      <c r="G16" s="7"/>
      <c r="H16" s="14"/>
      <c r="I16" s="7"/>
      <c r="J16" s="14">
        <v>16105.48</v>
      </c>
      <c r="K16" s="7"/>
      <c r="L16" s="11">
        <v>355038.45</v>
      </c>
      <c r="M16" s="7"/>
      <c r="N16" s="14">
        <v>7548.5</v>
      </c>
      <c r="O16" s="7"/>
      <c r="P16" s="61">
        <f>11506.65+117.53</f>
        <v>11624.18</v>
      </c>
      <c r="Q16" s="62"/>
      <c r="R16" s="61">
        <f>52714.39+491.93</f>
        <v>53206.32</v>
      </c>
      <c r="S16" s="62"/>
      <c r="T16" s="61">
        <f>14335.3+9837.7</f>
        <v>24173</v>
      </c>
      <c r="U16" s="62"/>
      <c r="V16" s="18">
        <f t="shared" ref="V16:V17" si="0">F16+H16+J16+L16+N16+P16+Q16+R16+S16+T16+U16</f>
        <v>602739.02</v>
      </c>
    </row>
    <row r="17" spans="2:22" ht="31.5" x14ac:dyDescent="0.25">
      <c r="C17" s="10" t="s">
        <v>5</v>
      </c>
      <c r="D17" s="57"/>
      <c r="E17" s="58"/>
      <c r="F17" s="14">
        <f>P44+P50</f>
        <v>147986.52196284005</v>
      </c>
      <c r="G17" s="7"/>
      <c r="H17" s="11">
        <f>P52</f>
        <v>0</v>
      </c>
      <c r="I17" s="7"/>
      <c r="J17" s="14">
        <f>J15+18637.28</f>
        <v>35303.119999999995</v>
      </c>
      <c r="K17" s="7"/>
      <c r="L17" s="11">
        <f>(D8*L20*6)+(D8*L21*6)</f>
        <v>355169.49599999998</v>
      </c>
      <c r="M17" s="7"/>
      <c r="N17" s="14">
        <f>'1'!N17</f>
        <v>11336.326999999999</v>
      </c>
      <c r="O17" s="7"/>
      <c r="P17" s="61">
        <f>P15+Q15+114670.71</f>
        <v>127393.08</v>
      </c>
      <c r="Q17" s="62"/>
      <c r="R17" s="61">
        <f>R15+S15</f>
        <v>57148.670000000006</v>
      </c>
      <c r="S17" s="62"/>
      <c r="T17" s="61">
        <f>T15+U15</f>
        <v>26223.15</v>
      </c>
      <c r="U17" s="62"/>
      <c r="V17" s="12">
        <f t="shared" si="0"/>
        <v>760560.3649628401</v>
      </c>
    </row>
    <row r="18" spans="2:22" ht="31.5" x14ac:dyDescent="0.25">
      <c r="C18" s="10" t="str">
        <f>'1'!C18</f>
        <v>Текущий остаток (задолженность (-), переплата (+)) на 31.12.2016 г.</v>
      </c>
      <c r="D18" s="57"/>
      <c r="E18" s="58"/>
      <c r="F18" s="33">
        <f>F16-F15+F14</f>
        <v>-13388.329999999998</v>
      </c>
      <c r="G18" s="32"/>
      <c r="H18" s="31">
        <f>H16-H15+H14</f>
        <v>0</v>
      </c>
      <c r="I18" s="40"/>
      <c r="J18" s="31">
        <f>J16-J15+J14</f>
        <v>-2050.8300000000008</v>
      </c>
      <c r="K18" s="40"/>
      <c r="L18" s="31">
        <f>L16-L15+L14</f>
        <v>-35700.61</v>
      </c>
      <c r="M18" s="40"/>
      <c r="N18" s="31">
        <f>N16-N15+N14</f>
        <v>-826.84</v>
      </c>
      <c r="O18" s="40"/>
      <c r="P18" s="55">
        <f t="shared" ref="P18:V18" si="1">P16-P15+P14</f>
        <v>-1733.9100000000005</v>
      </c>
      <c r="Q18" s="56"/>
      <c r="R18" s="55">
        <f t="shared" si="1"/>
        <v>-7328.3300000000054</v>
      </c>
      <c r="S18" s="56"/>
      <c r="T18" s="55">
        <f t="shared" si="1"/>
        <v>-3461.1900000000014</v>
      </c>
      <c r="U18" s="56"/>
      <c r="V18" s="31">
        <f t="shared" si="1"/>
        <v>-64490.040000000103</v>
      </c>
    </row>
    <row r="19" spans="2:22" x14ac:dyDescent="0.25">
      <c r="C19" s="9" t="s">
        <v>6</v>
      </c>
      <c r="D19" s="57"/>
      <c r="E19" s="58"/>
      <c r="F19" s="11"/>
      <c r="G19" s="7"/>
      <c r="H19" s="11"/>
      <c r="I19" s="7"/>
      <c r="J19" s="11"/>
      <c r="K19" s="7"/>
      <c r="L19" s="11"/>
      <c r="M19" s="7"/>
      <c r="N19" s="11"/>
      <c r="O19" s="7"/>
      <c r="P19" s="57"/>
      <c r="Q19" s="58"/>
      <c r="R19" s="57"/>
      <c r="S19" s="58"/>
      <c r="T19" s="57"/>
      <c r="U19" s="58"/>
      <c r="V19" s="30">
        <f>F18+H18+J18+L18+N18+P18+Q18+R18+S18+T18+U18</f>
        <v>-64490.040000000008</v>
      </c>
    </row>
    <row r="20" spans="2:22" x14ac:dyDescent="0.25">
      <c r="C20" s="9" t="str">
        <f>'1'!C20</f>
        <v>Тариф (руб/м²), 1-е полугодие</v>
      </c>
      <c r="D20" s="57"/>
      <c r="E20" s="58"/>
      <c r="F20" s="13">
        <f>'1'!F20</f>
        <v>15.31</v>
      </c>
      <c r="G20" s="7"/>
      <c r="H20" s="11">
        <f>'1'!H20</f>
        <v>37.700000000000003</v>
      </c>
      <c r="I20" s="7"/>
      <c r="J20" s="13">
        <f>'1'!J20</f>
        <v>44.32</v>
      </c>
      <c r="K20" s="7"/>
      <c r="L20" s="11">
        <v>39.770000000000003</v>
      </c>
      <c r="M20" s="7"/>
      <c r="N20" s="11">
        <f>'1'!N20</f>
        <v>50</v>
      </c>
      <c r="O20" s="7"/>
      <c r="P20" s="57" t="str">
        <f>'1'!P20</f>
        <v xml:space="preserve">15,02 руб./м3 </v>
      </c>
      <c r="Q20" s="58"/>
      <c r="R20" s="57" t="str">
        <f>'1'!R20</f>
        <v>99,55 руб./м3</v>
      </c>
      <c r="S20" s="58"/>
      <c r="T20" s="57" t="str">
        <f>'1'!T20</f>
        <v>18,66 руб./м3</v>
      </c>
      <c r="U20" s="58"/>
      <c r="V20" s="11"/>
    </row>
    <row r="21" spans="2:22" x14ac:dyDescent="0.25">
      <c r="C21" s="9" t="str">
        <f>'1'!C21</f>
        <v>Тариф (руб/м²), 2-е полугодие</v>
      </c>
      <c r="D21" s="50"/>
      <c r="E21" s="51"/>
      <c r="F21" s="21">
        <f>'1'!F21</f>
        <v>15.31</v>
      </c>
      <c r="G21" s="7"/>
      <c r="H21" s="21"/>
      <c r="I21" s="7"/>
      <c r="J21" s="21">
        <f>'1'!J21</f>
        <v>44.32</v>
      </c>
      <c r="K21" s="7"/>
      <c r="L21" s="21">
        <f>'17'!L21</f>
        <v>40.909999999999997</v>
      </c>
      <c r="M21" s="7"/>
      <c r="N21" s="21">
        <f>'1'!N21</f>
        <v>50</v>
      </c>
      <c r="O21" s="7"/>
      <c r="P21" s="57" t="str">
        <f>'1'!P21:Q21</f>
        <v>15,63 руб./м³</v>
      </c>
      <c r="Q21" s="58"/>
      <c r="R21" s="57" t="str">
        <f>'1'!R21:S21</f>
        <v>102,59 руб./м³</v>
      </c>
      <c r="S21" s="58"/>
      <c r="T21" s="57" t="str">
        <f>'1'!T21:U21</f>
        <v>19,41 руб./м³</v>
      </c>
      <c r="U21" s="58"/>
      <c r="V21" s="21"/>
    </row>
    <row r="22" spans="2:22" x14ac:dyDescent="0.25">
      <c r="C22" s="9" t="s">
        <v>44</v>
      </c>
      <c r="D22" s="57"/>
      <c r="E22" s="58"/>
      <c r="F22" s="18">
        <f>N44+N50</f>
        <v>16.808246099999998</v>
      </c>
      <c r="G22" s="7"/>
      <c r="H22" s="11"/>
      <c r="I22" s="7"/>
      <c r="J22" s="11"/>
      <c r="K22" s="7"/>
      <c r="L22" s="11"/>
      <c r="M22" s="7"/>
      <c r="N22" s="11"/>
      <c r="O22" s="7"/>
      <c r="P22" s="57"/>
      <c r="Q22" s="58"/>
      <c r="R22" s="57"/>
      <c r="S22" s="58"/>
      <c r="T22" s="57"/>
      <c r="U22" s="58"/>
      <c r="V22" s="11"/>
    </row>
    <row r="24" spans="2:22" x14ac:dyDescent="0.25">
      <c r="C24" s="5" t="s">
        <v>11</v>
      </c>
    </row>
    <row r="25" spans="2:22" x14ac:dyDescent="0.25">
      <c r="C25" s="1" t="s">
        <v>12</v>
      </c>
      <c r="J25" s="34">
        <f>V19/V15*100</f>
        <v>-10.449516398657828</v>
      </c>
      <c r="K25" s="35" t="s">
        <v>37</v>
      </c>
    </row>
    <row r="28" spans="2:22" ht="33" customHeight="1" x14ac:dyDescent="0.25">
      <c r="B28" s="27" t="s">
        <v>13</v>
      </c>
      <c r="C28" s="72" t="s">
        <v>14</v>
      </c>
      <c r="D28" s="72"/>
      <c r="E28" s="72"/>
      <c r="F28" s="72"/>
      <c r="G28" s="72"/>
      <c r="H28" s="72"/>
      <c r="I28" s="72"/>
      <c r="J28" s="72"/>
      <c r="K28" s="72"/>
      <c r="L28" s="73" t="s">
        <v>45</v>
      </c>
      <c r="M28" s="73"/>
      <c r="N28" s="73" t="s">
        <v>46</v>
      </c>
      <c r="O28" s="73"/>
      <c r="P28" s="27" t="s">
        <v>28</v>
      </c>
    </row>
    <row r="29" spans="2:22" x14ac:dyDescent="0.25">
      <c r="B29" s="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4"/>
    </row>
    <row r="30" spans="2:22" x14ac:dyDescent="0.25">
      <c r="B30" s="90" t="s">
        <v>7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</row>
    <row r="31" spans="2:22" x14ac:dyDescent="0.25">
      <c r="B31" s="4">
        <v>1</v>
      </c>
      <c r="C31" s="76" t="s">
        <v>15</v>
      </c>
      <c r="D31" s="76"/>
      <c r="E31" s="76"/>
      <c r="F31" s="76"/>
      <c r="G31" s="76"/>
      <c r="H31" s="76"/>
      <c r="I31" s="76"/>
      <c r="J31" s="76"/>
      <c r="K31" s="76"/>
      <c r="L31" s="74">
        <v>733.7</v>
      </c>
      <c r="M31" s="74"/>
      <c r="N31" s="77">
        <f>'1'!N31:O31</f>
        <v>3.5</v>
      </c>
      <c r="O31" s="77"/>
      <c r="P31" s="17">
        <f>L31*N31*12</f>
        <v>30815.4</v>
      </c>
    </row>
    <row r="32" spans="2:22" x14ac:dyDescent="0.25">
      <c r="B32" s="4">
        <v>2</v>
      </c>
      <c r="C32" s="76" t="s">
        <v>34</v>
      </c>
      <c r="D32" s="76"/>
      <c r="E32" s="76"/>
      <c r="F32" s="76"/>
      <c r="G32" s="76"/>
      <c r="H32" s="76"/>
      <c r="I32" s="76"/>
      <c r="J32" s="76"/>
      <c r="K32" s="76"/>
      <c r="L32" s="74">
        <v>733.7</v>
      </c>
      <c r="M32" s="74"/>
      <c r="N32" s="77">
        <f>'1'!N32:O32</f>
        <v>0.98752150000000005</v>
      </c>
      <c r="O32" s="77"/>
      <c r="P32" s="17">
        <f t="shared" ref="P32:P43" si="2">L32*N32*12</f>
        <v>8694.5342946000019</v>
      </c>
    </row>
    <row r="33" spans="2:16" x14ac:dyDescent="0.25">
      <c r="B33" s="4">
        <v>3</v>
      </c>
      <c r="C33" s="76" t="s">
        <v>16</v>
      </c>
      <c r="D33" s="76"/>
      <c r="E33" s="76"/>
      <c r="F33" s="76"/>
      <c r="G33" s="76"/>
      <c r="H33" s="76"/>
      <c r="I33" s="76"/>
      <c r="J33" s="76"/>
      <c r="K33" s="76"/>
      <c r="L33" s="74">
        <v>733.7</v>
      </c>
      <c r="M33" s="74"/>
      <c r="N33" s="77">
        <f>'1'!N33:O33</f>
        <v>2.8257476000000001</v>
      </c>
      <c r="O33" s="77"/>
      <c r="P33" s="17">
        <f t="shared" si="2"/>
        <v>24879.01216944</v>
      </c>
    </row>
    <row r="34" spans="2:16" x14ac:dyDescent="0.25">
      <c r="B34" s="4">
        <v>4</v>
      </c>
      <c r="C34" s="76" t="s">
        <v>17</v>
      </c>
      <c r="D34" s="76"/>
      <c r="E34" s="76"/>
      <c r="F34" s="76"/>
      <c r="G34" s="76"/>
      <c r="H34" s="76"/>
      <c r="I34" s="76"/>
      <c r="J34" s="76"/>
      <c r="K34" s="76"/>
      <c r="L34" s="74">
        <v>733.7</v>
      </c>
      <c r="M34" s="74"/>
      <c r="N34" s="77">
        <f>'1'!N34:O34</f>
        <v>1</v>
      </c>
      <c r="O34" s="77"/>
      <c r="P34" s="17">
        <f t="shared" si="2"/>
        <v>8804.4000000000015</v>
      </c>
    </row>
    <row r="35" spans="2:16" x14ac:dyDescent="0.25">
      <c r="B35" s="4">
        <v>5</v>
      </c>
      <c r="C35" s="76" t="s">
        <v>18</v>
      </c>
      <c r="D35" s="76"/>
      <c r="E35" s="76"/>
      <c r="F35" s="76"/>
      <c r="G35" s="76"/>
      <c r="H35" s="76"/>
      <c r="I35" s="76"/>
      <c r="J35" s="76"/>
      <c r="K35" s="76"/>
      <c r="L35" s="74">
        <v>733.7</v>
      </c>
      <c r="M35" s="74"/>
      <c r="N35" s="77">
        <f>'1'!N35:O35</f>
        <v>2</v>
      </c>
      <c r="O35" s="77"/>
      <c r="P35" s="17">
        <f t="shared" si="2"/>
        <v>17608.800000000003</v>
      </c>
    </row>
    <row r="36" spans="2:16" x14ac:dyDescent="0.25">
      <c r="B36" s="4">
        <v>6</v>
      </c>
      <c r="C36" s="76" t="s">
        <v>24</v>
      </c>
      <c r="D36" s="76"/>
      <c r="E36" s="76"/>
      <c r="F36" s="76"/>
      <c r="G36" s="76"/>
      <c r="H36" s="76"/>
      <c r="I36" s="76"/>
      <c r="J36" s="76"/>
      <c r="K36" s="76"/>
      <c r="L36" s="74">
        <v>733.7</v>
      </c>
      <c r="M36" s="74"/>
      <c r="N36" s="77">
        <f>'1'!N36:O36</f>
        <v>3</v>
      </c>
      <c r="O36" s="77"/>
      <c r="P36" s="17">
        <f t="shared" si="2"/>
        <v>26413.200000000004</v>
      </c>
    </row>
    <row r="37" spans="2:16" x14ac:dyDescent="0.25">
      <c r="B37" s="4">
        <v>7</v>
      </c>
      <c r="C37" s="76" t="s">
        <v>19</v>
      </c>
      <c r="D37" s="76"/>
      <c r="E37" s="76"/>
      <c r="F37" s="76"/>
      <c r="G37" s="76"/>
      <c r="H37" s="76"/>
      <c r="I37" s="76"/>
      <c r="J37" s="76"/>
      <c r="K37" s="76"/>
      <c r="L37" s="74">
        <v>733.7</v>
      </c>
      <c r="M37" s="74"/>
      <c r="N37" s="77">
        <f>'1'!N37:O37</f>
        <v>0.5</v>
      </c>
      <c r="O37" s="77"/>
      <c r="P37" s="17">
        <f t="shared" si="2"/>
        <v>4402.2000000000007</v>
      </c>
    </row>
    <row r="38" spans="2:16" x14ac:dyDescent="0.25">
      <c r="B38" s="4">
        <v>8</v>
      </c>
      <c r="C38" s="76" t="s">
        <v>20</v>
      </c>
      <c r="D38" s="76"/>
      <c r="E38" s="76"/>
      <c r="F38" s="76"/>
      <c r="G38" s="76"/>
      <c r="H38" s="76"/>
      <c r="I38" s="76"/>
      <c r="J38" s="76"/>
      <c r="K38" s="76"/>
      <c r="L38" s="74">
        <v>733.7</v>
      </c>
      <c r="M38" s="74"/>
      <c r="N38" s="77">
        <f>'1'!N38:O38</f>
        <v>1.694977</v>
      </c>
      <c r="O38" s="77"/>
      <c r="P38" s="17">
        <f t="shared" si="2"/>
        <v>14923.255498800001</v>
      </c>
    </row>
    <row r="39" spans="2:16" x14ac:dyDescent="0.25">
      <c r="B39" s="4">
        <v>9</v>
      </c>
      <c r="C39" s="76" t="s">
        <v>84</v>
      </c>
      <c r="D39" s="76"/>
      <c r="E39" s="76"/>
      <c r="F39" s="76"/>
      <c r="G39" s="76"/>
      <c r="H39" s="76"/>
      <c r="I39" s="76"/>
      <c r="J39" s="76"/>
      <c r="K39" s="76"/>
      <c r="L39" s="74">
        <v>733.7</v>
      </c>
      <c r="M39" s="74"/>
      <c r="N39" s="77">
        <f>'1'!N39:O39</f>
        <v>0.1</v>
      </c>
      <c r="O39" s="77"/>
      <c r="P39" s="17">
        <f t="shared" si="2"/>
        <v>880.44</v>
      </c>
    </row>
    <row r="40" spans="2:16" x14ac:dyDescent="0.25">
      <c r="B40" s="4">
        <v>10</v>
      </c>
      <c r="C40" s="76" t="s">
        <v>21</v>
      </c>
      <c r="D40" s="76"/>
      <c r="E40" s="76"/>
      <c r="F40" s="76"/>
      <c r="G40" s="76"/>
      <c r="H40" s="76"/>
      <c r="I40" s="76"/>
      <c r="J40" s="76"/>
      <c r="K40" s="76"/>
      <c r="L40" s="74">
        <v>733.7</v>
      </c>
      <c r="M40" s="74"/>
      <c r="N40" s="77">
        <f>'1'!N40:O40</f>
        <v>0.2</v>
      </c>
      <c r="O40" s="77"/>
      <c r="P40" s="17">
        <f t="shared" si="2"/>
        <v>1760.88</v>
      </c>
    </row>
    <row r="41" spans="2:16" x14ac:dyDescent="0.25">
      <c r="B41" s="4">
        <v>11</v>
      </c>
      <c r="C41" s="76" t="s">
        <v>22</v>
      </c>
      <c r="D41" s="76"/>
      <c r="E41" s="76"/>
      <c r="F41" s="76"/>
      <c r="G41" s="76"/>
      <c r="H41" s="76"/>
      <c r="I41" s="76"/>
      <c r="J41" s="76"/>
      <c r="K41" s="76"/>
      <c r="L41" s="74">
        <v>733.7</v>
      </c>
      <c r="M41" s="74"/>
      <c r="N41" s="77">
        <f>'1'!N41:O41</f>
        <v>0.5</v>
      </c>
      <c r="O41" s="77"/>
      <c r="P41" s="17">
        <f t="shared" si="2"/>
        <v>4402.2000000000007</v>
      </c>
    </row>
    <row r="42" spans="2:16" hidden="1" x14ac:dyDescent="0.25">
      <c r="B42" s="4">
        <v>12</v>
      </c>
      <c r="C42" s="76" t="s">
        <v>23</v>
      </c>
      <c r="D42" s="76"/>
      <c r="E42" s="76"/>
      <c r="F42" s="76"/>
      <c r="G42" s="76"/>
      <c r="H42" s="76"/>
      <c r="I42" s="76"/>
      <c r="J42" s="76"/>
      <c r="K42" s="76"/>
      <c r="L42" s="74">
        <v>733.7</v>
      </c>
      <c r="M42" s="74"/>
      <c r="N42" s="77">
        <f>'1'!N42:O42</f>
        <v>0</v>
      </c>
      <c r="O42" s="77"/>
      <c r="P42" s="17">
        <f t="shared" si="2"/>
        <v>0</v>
      </c>
    </row>
    <row r="43" spans="2:16" x14ac:dyDescent="0.25">
      <c r="B43" s="4">
        <v>12</v>
      </c>
      <c r="C43" s="76" t="s">
        <v>25</v>
      </c>
      <c r="D43" s="76"/>
      <c r="E43" s="76"/>
      <c r="F43" s="76"/>
      <c r="G43" s="76"/>
      <c r="H43" s="76"/>
      <c r="I43" s="76"/>
      <c r="J43" s="76"/>
      <c r="K43" s="76"/>
      <c r="L43" s="74">
        <v>733.7</v>
      </c>
      <c r="M43" s="74"/>
      <c r="N43" s="77">
        <f>'1'!N43:O43</f>
        <v>0.5</v>
      </c>
      <c r="O43" s="77"/>
      <c r="P43" s="17">
        <f t="shared" si="2"/>
        <v>4402.2000000000007</v>
      </c>
    </row>
    <row r="44" spans="2:16" x14ac:dyDescent="0.25">
      <c r="B44" s="38"/>
      <c r="C44" s="78" t="s">
        <v>26</v>
      </c>
      <c r="D44" s="78"/>
      <c r="E44" s="78"/>
      <c r="F44" s="78"/>
      <c r="G44" s="78"/>
      <c r="H44" s="78"/>
      <c r="I44" s="78"/>
      <c r="J44" s="78"/>
      <c r="K44" s="78"/>
      <c r="L44" s="79">
        <v>733.7</v>
      </c>
      <c r="M44" s="79"/>
      <c r="N44" s="91">
        <f>SUM(N31:O43)</f>
        <v>16.808246099999998</v>
      </c>
      <c r="O44" s="91"/>
      <c r="P44" s="39">
        <f>SUM(P31:P43)</f>
        <v>147986.52196284005</v>
      </c>
    </row>
    <row r="45" spans="2:16" hidden="1" x14ac:dyDescent="0.25">
      <c r="B45" s="90" t="s">
        <v>27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</row>
    <row r="46" spans="2:16" hidden="1" x14ac:dyDescent="0.25">
      <c r="B46" s="4">
        <v>1</v>
      </c>
      <c r="C46" s="82" t="s">
        <v>73</v>
      </c>
      <c r="D46" s="83"/>
      <c r="E46" s="83"/>
      <c r="F46" s="83"/>
      <c r="G46" s="83"/>
      <c r="H46" s="83"/>
      <c r="I46" s="83"/>
      <c r="J46" s="83"/>
      <c r="K46" s="84"/>
      <c r="L46" s="74">
        <v>733.7</v>
      </c>
      <c r="M46" s="74"/>
      <c r="N46" s="74"/>
      <c r="O46" s="74"/>
      <c r="P46" s="17">
        <f>L46*N46*6</f>
        <v>0</v>
      </c>
    </row>
    <row r="47" spans="2:16" hidden="1" x14ac:dyDescent="0.25">
      <c r="B47" s="4">
        <v>2</v>
      </c>
      <c r="C47" s="82" t="s">
        <v>74</v>
      </c>
      <c r="D47" s="83"/>
      <c r="E47" s="83"/>
      <c r="F47" s="83"/>
      <c r="G47" s="83"/>
      <c r="H47" s="83"/>
      <c r="I47" s="83"/>
      <c r="J47" s="83"/>
      <c r="K47" s="84"/>
      <c r="L47" s="74">
        <v>733.7</v>
      </c>
      <c r="M47" s="74"/>
      <c r="N47" s="74"/>
      <c r="O47" s="74"/>
      <c r="P47" s="17">
        <f>L47*N47*6</f>
        <v>0</v>
      </c>
    </row>
    <row r="48" spans="2:16" hidden="1" x14ac:dyDescent="0.25">
      <c r="B48" s="4">
        <v>3</v>
      </c>
      <c r="C48" s="74" t="s">
        <v>90</v>
      </c>
      <c r="D48" s="74"/>
      <c r="E48" s="74"/>
      <c r="F48" s="74"/>
      <c r="G48" s="74"/>
      <c r="H48" s="74"/>
      <c r="I48" s="74"/>
      <c r="J48" s="74"/>
      <c r="K48" s="74"/>
      <c r="L48" s="74">
        <v>733.7</v>
      </c>
      <c r="M48" s="74"/>
      <c r="N48" s="77"/>
      <c r="O48" s="77"/>
      <c r="P48" s="17"/>
    </row>
    <row r="49" spans="2:16" hidden="1" x14ac:dyDescent="0.25">
      <c r="B49" s="4">
        <v>4</v>
      </c>
      <c r="C49" s="74"/>
      <c r="D49" s="74"/>
      <c r="E49" s="74"/>
      <c r="F49" s="74"/>
      <c r="G49" s="74"/>
      <c r="H49" s="74"/>
      <c r="I49" s="74"/>
      <c r="J49" s="74"/>
      <c r="K49" s="74"/>
      <c r="L49" s="74">
        <v>733.7</v>
      </c>
      <c r="M49" s="74"/>
      <c r="N49" s="77"/>
      <c r="O49" s="77"/>
      <c r="P49" s="17"/>
    </row>
    <row r="50" spans="2:16" hidden="1" x14ac:dyDescent="0.25">
      <c r="B50" s="38"/>
      <c r="C50" s="86" t="s">
        <v>29</v>
      </c>
      <c r="D50" s="87"/>
      <c r="E50" s="87"/>
      <c r="F50" s="87"/>
      <c r="G50" s="87"/>
      <c r="H50" s="87"/>
      <c r="I50" s="87"/>
      <c r="J50" s="87"/>
      <c r="K50" s="88"/>
      <c r="L50" s="79">
        <v>733.7</v>
      </c>
      <c r="M50" s="79"/>
      <c r="N50" s="91">
        <f>SUM(N46:O49)</f>
        <v>0</v>
      </c>
      <c r="O50" s="91"/>
      <c r="P50" s="39">
        <f>SUM(P46:P49)</f>
        <v>0</v>
      </c>
    </row>
    <row r="51" spans="2:16" hidden="1" x14ac:dyDescent="0.25">
      <c r="B51" s="90" t="s">
        <v>30</v>
      </c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</row>
    <row r="52" spans="2:16" hidden="1" x14ac:dyDescent="0.25">
      <c r="B52" s="38"/>
      <c r="C52" s="86" t="s">
        <v>31</v>
      </c>
      <c r="D52" s="87"/>
      <c r="E52" s="87"/>
      <c r="F52" s="87"/>
      <c r="G52" s="87"/>
      <c r="H52" s="87"/>
      <c r="I52" s="87"/>
      <c r="J52" s="87"/>
      <c r="K52" s="88"/>
      <c r="L52" s="79">
        <v>733.7</v>
      </c>
      <c r="M52" s="79"/>
      <c r="N52" s="79">
        <v>0</v>
      </c>
      <c r="O52" s="79"/>
      <c r="P52" s="38"/>
    </row>
    <row r="55" spans="2:16" x14ac:dyDescent="0.25">
      <c r="C55" s="1" t="s">
        <v>38</v>
      </c>
    </row>
    <row r="56" spans="2:16" x14ac:dyDescent="0.25">
      <c r="C56" s="1" t="s">
        <v>39</v>
      </c>
    </row>
    <row r="57" spans="2:16" x14ac:dyDescent="0.25">
      <c r="C57" s="4" t="s">
        <v>93</v>
      </c>
      <c r="D57" s="22">
        <f>N44</f>
        <v>16.808246099999998</v>
      </c>
    </row>
    <row r="60" spans="2:16" x14ac:dyDescent="0.25">
      <c r="C60" s="1" t="s">
        <v>40</v>
      </c>
      <c r="D60" s="2"/>
      <c r="E60" s="2"/>
      <c r="F60" s="2"/>
      <c r="G60" s="2"/>
      <c r="J60" s="1" t="s">
        <v>41</v>
      </c>
    </row>
    <row r="63" spans="2:16" ht="24.75" customHeight="1" x14ac:dyDescent="0.25">
      <c r="C63" s="1" t="s">
        <v>42</v>
      </c>
      <c r="D63" s="2"/>
      <c r="E63" s="2"/>
      <c r="F63" s="1" t="s">
        <v>43</v>
      </c>
    </row>
    <row r="64" spans="2:16" ht="25.5" customHeight="1" x14ac:dyDescent="0.25">
      <c r="D64" s="2"/>
      <c r="E64" s="2"/>
      <c r="F64" s="1" t="s">
        <v>43</v>
      </c>
    </row>
    <row r="65" spans="4:6" ht="24.75" customHeight="1" x14ac:dyDescent="0.25">
      <c r="D65" s="2"/>
      <c r="E65" s="2"/>
      <c r="F65" s="1" t="s">
        <v>43</v>
      </c>
    </row>
  </sheetData>
  <mergeCells count="115">
    <mergeCell ref="B51:P51"/>
    <mergeCell ref="C52:K52"/>
    <mergeCell ref="L52:M52"/>
    <mergeCell ref="N52:O52"/>
    <mergeCell ref="C49:K49"/>
    <mergeCell ref="L49:M49"/>
    <mergeCell ref="N49:O49"/>
    <mergeCell ref="C50:K50"/>
    <mergeCell ref="L50:M50"/>
    <mergeCell ref="N50:O50"/>
    <mergeCell ref="B45:P45"/>
    <mergeCell ref="C46:K46"/>
    <mergeCell ref="L46:M46"/>
    <mergeCell ref="N46:O46"/>
    <mergeCell ref="C47:K47"/>
    <mergeCell ref="L47:M47"/>
    <mergeCell ref="N47:O47"/>
    <mergeCell ref="C48:K48"/>
    <mergeCell ref="L48:M48"/>
    <mergeCell ref="N48:O48"/>
    <mergeCell ref="C42:K42"/>
    <mergeCell ref="L42:M42"/>
    <mergeCell ref="N42:O42"/>
    <mergeCell ref="C43:K43"/>
    <mergeCell ref="L43:M43"/>
    <mergeCell ref="N43:O43"/>
    <mergeCell ref="C44:K44"/>
    <mergeCell ref="L44:M44"/>
    <mergeCell ref="N44:O44"/>
    <mergeCell ref="C39:K39"/>
    <mergeCell ref="L39:M39"/>
    <mergeCell ref="N39:O39"/>
    <mergeCell ref="C40:K40"/>
    <mergeCell ref="L40:M40"/>
    <mergeCell ref="N40:O40"/>
    <mergeCell ref="C41:K41"/>
    <mergeCell ref="L41:M41"/>
    <mergeCell ref="N41:O41"/>
    <mergeCell ref="C36:K36"/>
    <mergeCell ref="L36:M36"/>
    <mergeCell ref="N36:O36"/>
    <mergeCell ref="C37:K37"/>
    <mergeCell ref="L37:M37"/>
    <mergeCell ref="N37:O37"/>
    <mergeCell ref="C38:K38"/>
    <mergeCell ref="L38:M38"/>
    <mergeCell ref="N38:O38"/>
    <mergeCell ref="C33:K33"/>
    <mergeCell ref="L33:M33"/>
    <mergeCell ref="N33:O33"/>
    <mergeCell ref="C34:K34"/>
    <mergeCell ref="L34:M34"/>
    <mergeCell ref="N34:O34"/>
    <mergeCell ref="C35:K35"/>
    <mergeCell ref="L35:M35"/>
    <mergeCell ref="N35:O35"/>
    <mergeCell ref="C29:K29"/>
    <mergeCell ref="L29:M29"/>
    <mergeCell ref="N29:O29"/>
    <mergeCell ref="B30:P30"/>
    <mergeCell ref="C31:K31"/>
    <mergeCell ref="L31:M31"/>
    <mergeCell ref="N31:O31"/>
    <mergeCell ref="C32:K32"/>
    <mergeCell ref="L32:M32"/>
    <mergeCell ref="N32:O32"/>
    <mergeCell ref="C28:K28"/>
    <mergeCell ref="L28:M28"/>
    <mergeCell ref="N28:O28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2:E22"/>
    <mergeCell ref="B2:V2"/>
    <mergeCell ref="B3:V3"/>
    <mergeCell ref="B4:V4"/>
    <mergeCell ref="P12:Q12"/>
    <mergeCell ref="P13:Q13"/>
    <mergeCell ref="P14:Q14"/>
    <mergeCell ref="P15:Q15"/>
    <mergeCell ref="P16:Q16"/>
    <mergeCell ref="T12:U12"/>
    <mergeCell ref="T13:U13"/>
    <mergeCell ref="T14:U14"/>
    <mergeCell ref="T15:U15"/>
    <mergeCell ref="T16:U16"/>
    <mergeCell ref="T18:U18"/>
    <mergeCell ref="T19:U19"/>
    <mergeCell ref="T20:U20"/>
    <mergeCell ref="T22:U22"/>
    <mergeCell ref="P18:Q18"/>
    <mergeCell ref="P19:Q19"/>
    <mergeCell ref="P20:Q20"/>
    <mergeCell ref="P22:Q22"/>
    <mergeCell ref="R12:S12"/>
    <mergeCell ref="R13:S13"/>
    <mergeCell ref="R14:S14"/>
    <mergeCell ref="R15:S15"/>
    <mergeCell ref="R16:S16"/>
    <mergeCell ref="R18:S18"/>
    <mergeCell ref="R19:S19"/>
    <mergeCell ref="R20:S20"/>
    <mergeCell ref="R22:S22"/>
    <mergeCell ref="P17:Q17"/>
    <mergeCell ref="R17:S17"/>
    <mergeCell ref="T17:U17"/>
    <mergeCell ref="P21:Q21"/>
    <mergeCell ref="R21:S21"/>
    <mergeCell ref="T21:U21"/>
  </mergeCells>
  <pageMargins left="0.25" right="0.25" top="0.75" bottom="0.75" header="0.3" footer="0.3"/>
  <pageSetup paperSize="9" scale="4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B1:V65"/>
  <sheetViews>
    <sheetView view="pageBreakPreview" topLeftCell="A7" zoomScale="80" zoomScaleNormal="84" zoomScaleSheetLayoutView="80" workbookViewId="0">
      <selection activeCell="L17" sqref="L17"/>
    </sheetView>
  </sheetViews>
  <sheetFormatPr defaultRowHeight="15.75" x14ac:dyDescent="0.25"/>
  <cols>
    <col min="1" max="1" width="2.85546875" style="1" customWidth="1"/>
    <col min="2" max="2" width="4" style="1" bestFit="1" customWidth="1"/>
    <col min="3" max="3" width="39.5703125" style="1" customWidth="1"/>
    <col min="4" max="4" width="13.28515625" style="1" customWidth="1"/>
    <col min="5" max="5" width="11.7109375" style="1" customWidth="1"/>
    <col min="6" max="6" width="10.42578125" style="1" customWidth="1"/>
    <col min="7" max="7" width="1.5703125" style="1" hidden="1" customWidth="1"/>
    <col min="8" max="8" width="12.5703125" style="1" hidden="1" customWidth="1"/>
    <col min="9" max="9" width="1.5703125" style="1" customWidth="1"/>
    <col min="10" max="10" width="11.140625" style="1" customWidth="1"/>
    <col min="11" max="11" width="2.28515625" style="1" customWidth="1"/>
    <col min="12" max="12" width="12.140625" style="1" customWidth="1"/>
    <col min="13" max="13" width="1.5703125" style="1" customWidth="1"/>
    <col min="14" max="14" width="15.7109375" style="1" customWidth="1"/>
    <col min="15" max="15" width="1.7109375" style="1" customWidth="1"/>
    <col min="16" max="16" width="12" style="1" customWidth="1"/>
    <col min="17" max="17" width="10.28515625" style="1" customWidth="1"/>
    <col min="18" max="18" width="11.140625" style="1" customWidth="1"/>
    <col min="19" max="19" width="10.28515625" style="1" customWidth="1"/>
    <col min="20" max="20" width="14.7109375" style="1" customWidth="1"/>
    <col min="21" max="21" width="10.85546875" style="1" customWidth="1"/>
    <col min="22" max="22" width="11" style="1" customWidth="1"/>
    <col min="23" max="16384" width="9.140625" style="1"/>
  </cols>
  <sheetData>
    <row r="1" spans="2:22" ht="16.5" thickBot="1" x14ac:dyDescent="0.3"/>
    <row r="2" spans="2:22" x14ac:dyDescent="0.25">
      <c r="B2" s="63" t="s">
        <v>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5"/>
    </row>
    <row r="3" spans="2:22" x14ac:dyDescent="0.25">
      <c r="B3" s="66" t="str">
        <f>'1'!B3:V3</f>
        <v>с 1.01.2016 по 31.12.2016 г.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/>
    </row>
    <row r="4" spans="2:22" ht="16.5" thickBot="1" x14ac:dyDescent="0.3">
      <c r="B4" s="69" t="s">
        <v>32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1"/>
    </row>
    <row r="5" spans="2:22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2:22" x14ac:dyDescent="0.25">
      <c r="C6" s="29" t="s">
        <v>59</v>
      </c>
    </row>
    <row r="8" spans="2:22" x14ac:dyDescent="0.25">
      <c r="C8" s="1" t="s">
        <v>33</v>
      </c>
      <c r="D8" s="2">
        <v>923.74</v>
      </c>
    </row>
    <row r="9" spans="2:22" x14ac:dyDescent="0.25">
      <c r="C9" s="1" t="s">
        <v>35</v>
      </c>
      <c r="D9" s="3">
        <v>30</v>
      </c>
    </row>
    <row r="10" spans="2:22" x14ac:dyDescent="0.25">
      <c r="C10" s="1" t="s">
        <v>36</v>
      </c>
      <c r="D10" s="3">
        <v>19</v>
      </c>
    </row>
    <row r="12" spans="2:22" ht="63" x14ac:dyDescent="0.25">
      <c r="C12" s="27" t="s">
        <v>1</v>
      </c>
      <c r="D12" s="59" t="str">
        <f>'1'!D12:E12</f>
        <v>Содержание общего имущества дома</v>
      </c>
      <c r="E12" s="60"/>
      <c r="F12" s="27" t="s">
        <v>8</v>
      </c>
      <c r="G12" s="7"/>
      <c r="H12" s="27" t="s">
        <v>9</v>
      </c>
      <c r="I12" s="7"/>
      <c r="J12" s="28" t="str">
        <f>'1'!J12</f>
        <v>Вывоз ТБО (руб./чел.)</v>
      </c>
      <c r="K12" s="7"/>
      <c r="L12" s="28" t="s">
        <v>67</v>
      </c>
      <c r="M12" s="7"/>
      <c r="N12" s="28" t="str">
        <f>'1'!N12</f>
        <v>Обслуживание антены (руб./лиц.сч.)</v>
      </c>
      <c r="O12" s="8"/>
      <c r="P12" s="59" t="str">
        <f>'1'!P12</f>
        <v xml:space="preserve">Хол. вода </v>
      </c>
      <c r="Q12" s="60"/>
      <c r="R12" s="59" t="str">
        <f>'1'!R12</f>
        <v xml:space="preserve">Гор. вода </v>
      </c>
      <c r="S12" s="60"/>
      <c r="T12" s="59" t="str">
        <f>'1'!T12</f>
        <v>Канализация</v>
      </c>
      <c r="U12" s="60"/>
      <c r="V12" s="27" t="s">
        <v>10</v>
      </c>
    </row>
    <row r="13" spans="2:22" x14ac:dyDescent="0.25">
      <c r="C13" s="9" t="s">
        <v>2</v>
      </c>
      <c r="D13" s="57"/>
      <c r="E13" s="58"/>
      <c r="F13" s="11"/>
      <c r="G13" s="7"/>
      <c r="H13" s="11"/>
      <c r="I13" s="7"/>
      <c r="J13" s="11"/>
      <c r="K13" s="7"/>
      <c r="L13" s="11"/>
      <c r="M13" s="7"/>
      <c r="N13" s="11"/>
      <c r="O13" s="7"/>
      <c r="P13" s="57"/>
      <c r="Q13" s="58"/>
      <c r="R13" s="57"/>
      <c r="S13" s="58"/>
      <c r="T13" s="57"/>
      <c r="U13" s="58"/>
      <c r="V13" s="30">
        <f>V14</f>
        <v>-297614.35000000003</v>
      </c>
    </row>
    <row r="14" spans="2:22" ht="47.25" x14ac:dyDescent="0.25">
      <c r="C14" s="10" t="str">
        <f>'1'!C14</f>
        <v>Остаток с предыдущего периода (задолженность(-), переплата (+)) на 01.01.2016г.</v>
      </c>
      <c r="D14" s="57"/>
      <c r="E14" s="58"/>
      <c r="F14" s="11">
        <v>-59615.96</v>
      </c>
      <c r="G14" s="7"/>
      <c r="H14" s="11">
        <v>0</v>
      </c>
      <c r="I14" s="7"/>
      <c r="J14" s="11">
        <v>-8266.01</v>
      </c>
      <c r="K14" s="7"/>
      <c r="L14" s="11">
        <v>-151018.32</v>
      </c>
      <c r="M14" s="7"/>
      <c r="N14" s="11">
        <v>-3214.6</v>
      </c>
      <c r="O14" s="7"/>
      <c r="P14" s="57">
        <v>-8616.25</v>
      </c>
      <c r="Q14" s="58"/>
      <c r="R14" s="57">
        <v>-46387.65</v>
      </c>
      <c r="S14" s="58"/>
      <c r="T14" s="57">
        <v>-20495.560000000001</v>
      </c>
      <c r="U14" s="58"/>
      <c r="V14" s="14">
        <f>F14+H14+J14+L14+N14+P14+Q14+R14+S14+T14+U14</f>
        <v>-297614.35000000003</v>
      </c>
    </row>
    <row r="15" spans="2:22" x14ac:dyDescent="0.25">
      <c r="C15" s="9" t="s">
        <v>3</v>
      </c>
      <c r="D15" s="57"/>
      <c r="E15" s="58"/>
      <c r="F15" s="11">
        <v>169562.52</v>
      </c>
      <c r="G15" s="7"/>
      <c r="H15" s="14"/>
      <c r="I15" s="7"/>
      <c r="J15" s="14">
        <v>16667.07</v>
      </c>
      <c r="K15" s="7"/>
      <c r="L15" s="11">
        <v>443961.84</v>
      </c>
      <c r="M15" s="7"/>
      <c r="N15" s="11">
        <v>10200</v>
      </c>
      <c r="O15" s="7"/>
      <c r="P15" s="61">
        <f>14466.35+489.54</f>
        <v>14955.890000000001</v>
      </c>
      <c r="Q15" s="62"/>
      <c r="R15" s="61">
        <f>80132.55+2126.6</f>
        <v>82259.150000000009</v>
      </c>
      <c r="S15" s="62"/>
      <c r="T15" s="61">
        <f>17969.15+15077.68</f>
        <v>33046.83</v>
      </c>
      <c r="U15" s="62"/>
      <c r="V15" s="14">
        <f>F15+H15+J15+L15+N15+P15+Q15+R15+S15+T15+U15</f>
        <v>770653.3</v>
      </c>
    </row>
    <row r="16" spans="2:22" x14ac:dyDescent="0.25">
      <c r="C16" s="9" t="s">
        <v>4</v>
      </c>
      <c r="D16" s="57"/>
      <c r="E16" s="58"/>
      <c r="F16" s="11">
        <f>3597.69+162247.98</f>
        <v>165845.67000000001</v>
      </c>
      <c r="G16" s="7"/>
      <c r="H16" s="14"/>
      <c r="I16" s="7"/>
      <c r="J16" s="14">
        <v>16339.9</v>
      </c>
      <c r="K16" s="7"/>
      <c r="L16" s="11">
        <v>429328.31</v>
      </c>
      <c r="M16" s="7"/>
      <c r="N16" s="14">
        <v>9950.5</v>
      </c>
      <c r="O16" s="7"/>
      <c r="P16" s="61">
        <f>13716.58+169.01</f>
        <v>13885.59</v>
      </c>
      <c r="Q16" s="62"/>
      <c r="R16" s="61">
        <f>72587.31+703.24</f>
        <v>73290.55</v>
      </c>
      <c r="S16" s="62"/>
      <c r="T16" s="61">
        <f>20636.77+10568.99</f>
        <v>31205.760000000002</v>
      </c>
      <c r="U16" s="62"/>
      <c r="V16" s="12">
        <f t="shared" ref="V16:V17" si="0">F16+H16+J16+L16+N16+P16+Q16+R16+S16+T16+U16</f>
        <v>739846.28</v>
      </c>
    </row>
    <row r="17" spans="2:22" ht="31.5" x14ac:dyDescent="0.25">
      <c r="C17" s="10" t="s">
        <v>5</v>
      </c>
      <c r="D17" s="57"/>
      <c r="E17" s="58"/>
      <c r="F17" s="14">
        <f>P44+P50</f>
        <v>186317.39102896804</v>
      </c>
      <c r="G17" s="7"/>
      <c r="H17" s="11">
        <f>P52</f>
        <v>0</v>
      </c>
      <c r="I17" s="7"/>
      <c r="J17" s="14">
        <f>J15+18637.28</f>
        <v>35304.35</v>
      </c>
      <c r="K17" s="7"/>
      <c r="L17" s="11">
        <f>(D8*L20*6)+(D8*L21*6)</f>
        <v>444337.41480000003</v>
      </c>
      <c r="M17" s="7"/>
      <c r="N17" s="14">
        <f>'1'!N17</f>
        <v>11336.326999999999</v>
      </c>
      <c r="O17" s="7"/>
      <c r="P17" s="61">
        <f>P15+Q15+114670.71</f>
        <v>129626.6</v>
      </c>
      <c r="Q17" s="62"/>
      <c r="R17" s="61">
        <f>R15+S15</f>
        <v>82259.150000000009</v>
      </c>
      <c r="S17" s="62"/>
      <c r="T17" s="61">
        <f>T15+U15</f>
        <v>33046.83</v>
      </c>
      <c r="U17" s="62"/>
      <c r="V17" s="12">
        <f t="shared" si="0"/>
        <v>922228.06282896805</v>
      </c>
    </row>
    <row r="18" spans="2:22" ht="31.5" x14ac:dyDescent="0.25">
      <c r="C18" s="10" t="str">
        <f>'1'!C18</f>
        <v>Текущий остаток (задолженность (-), переплата (+)) на 31.12.2016 г.</v>
      </c>
      <c r="D18" s="57"/>
      <c r="E18" s="58"/>
      <c r="F18" s="33">
        <f>F16-F15+F14</f>
        <v>-63332.809999999976</v>
      </c>
      <c r="G18" s="32"/>
      <c r="H18" s="31">
        <f>H16-H15+H14</f>
        <v>0</v>
      </c>
      <c r="I18" s="40"/>
      <c r="J18" s="31">
        <f>J16-J15+J14</f>
        <v>-8593.18</v>
      </c>
      <c r="K18" s="40"/>
      <c r="L18" s="31">
        <f>L16-L15+L14</f>
        <v>-165651.85000000003</v>
      </c>
      <c r="M18" s="40"/>
      <c r="N18" s="31">
        <f>N16-N15+N14</f>
        <v>-3464.1</v>
      </c>
      <c r="O18" s="40"/>
      <c r="P18" s="55">
        <f t="shared" ref="P18:V18" si="1">P16-P15+P14</f>
        <v>-9686.5500000000011</v>
      </c>
      <c r="Q18" s="56"/>
      <c r="R18" s="55">
        <f t="shared" si="1"/>
        <v>-55356.250000000007</v>
      </c>
      <c r="S18" s="56"/>
      <c r="T18" s="55">
        <f t="shared" si="1"/>
        <v>-22336.63</v>
      </c>
      <c r="U18" s="56"/>
      <c r="V18" s="31">
        <f t="shared" si="1"/>
        <v>-328421.37000000005</v>
      </c>
    </row>
    <row r="19" spans="2:22" x14ac:dyDescent="0.25">
      <c r="C19" s="9" t="s">
        <v>6</v>
      </c>
      <c r="D19" s="57"/>
      <c r="E19" s="58"/>
      <c r="F19" s="11"/>
      <c r="G19" s="7"/>
      <c r="H19" s="11"/>
      <c r="I19" s="7"/>
      <c r="J19" s="11"/>
      <c r="K19" s="7"/>
      <c r="L19" s="11"/>
      <c r="M19" s="7"/>
      <c r="N19" s="11"/>
      <c r="O19" s="7"/>
      <c r="P19" s="57"/>
      <c r="Q19" s="58"/>
      <c r="R19" s="57"/>
      <c r="S19" s="58"/>
      <c r="T19" s="57"/>
      <c r="U19" s="58"/>
      <c r="V19" s="30">
        <f>F18+H18+J18+L18+N18+P18+Q18+R18+S18+T18+U18</f>
        <v>-328421.37000000005</v>
      </c>
    </row>
    <row r="20" spans="2:22" x14ac:dyDescent="0.25">
      <c r="C20" s="9" t="str">
        <f>'1'!C20</f>
        <v>Тариф (руб/м²), 1-е полугодие</v>
      </c>
      <c r="D20" s="57"/>
      <c r="E20" s="58"/>
      <c r="F20" s="13">
        <f>'1'!F20</f>
        <v>15.31</v>
      </c>
      <c r="G20" s="7"/>
      <c r="H20" s="11">
        <f>'1'!H20</f>
        <v>37.700000000000003</v>
      </c>
      <c r="I20" s="7"/>
      <c r="J20" s="13">
        <f>'1'!J20</f>
        <v>44.32</v>
      </c>
      <c r="K20" s="7"/>
      <c r="L20" s="11">
        <v>39.520000000000003</v>
      </c>
      <c r="M20" s="7"/>
      <c r="N20" s="11">
        <f>'1'!N20</f>
        <v>50</v>
      </c>
      <c r="O20" s="7"/>
      <c r="P20" s="57" t="str">
        <f>'1'!P20</f>
        <v xml:space="preserve">15,02 руб./м3 </v>
      </c>
      <c r="Q20" s="58"/>
      <c r="R20" s="57" t="str">
        <f>'1'!R20</f>
        <v>99,55 руб./м3</v>
      </c>
      <c r="S20" s="58"/>
      <c r="T20" s="57" t="str">
        <f>'1'!T20</f>
        <v>18,66 руб./м3</v>
      </c>
      <c r="U20" s="58"/>
      <c r="V20" s="11"/>
    </row>
    <row r="21" spans="2:22" x14ac:dyDescent="0.25">
      <c r="C21" s="9" t="str">
        <f>'1'!C21</f>
        <v>Тариф (руб/м²), 2-е полугодие</v>
      </c>
      <c r="D21" s="50"/>
      <c r="E21" s="51"/>
      <c r="F21" s="21">
        <f>'1'!F21</f>
        <v>15.31</v>
      </c>
      <c r="G21" s="7"/>
      <c r="H21" s="21"/>
      <c r="I21" s="7"/>
      <c r="J21" s="21">
        <f>'1'!J21</f>
        <v>44.32</v>
      </c>
      <c r="K21" s="7"/>
      <c r="L21" s="21">
        <f>'4'!L21</f>
        <v>40.65</v>
      </c>
      <c r="M21" s="7"/>
      <c r="N21" s="21">
        <f>'1'!N21</f>
        <v>50</v>
      </c>
      <c r="O21" s="7"/>
      <c r="P21" s="57" t="str">
        <f>'1'!P21:Q21</f>
        <v>15,63 руб./м³</v>
      </c>
      <c r="Q21" s="58"/>
      <c r="R21" s="57" t="str">
        <f>'1'!R21:S21</f>
        <v>102,59 руб./м³</v>
      </c>
      <c r="S21" s="58"/>
      <c r="T21" s="57" t="str">
        <f>'1'!T21:U21</f>
        <v>19,41 руб./м³</v>
      </c>
      <c r="U21" s="58"/>
      <c r="V21" s="21"/>
    </row>
    <row r="22" spans="2:22" x14ac:dyDescent="0.25">
      <c r="C22" s="9" t="s">
        <v>44</v>
      </c>
      <c r="D22" s="57"/>
      <c r="E22" s="58"/>
      <c r="F22" s="18">
        <f>N44+N50</f>
        <v>16.808246099999998</v>
      </c>
      <c r="G22" s="7"/>
      <c r="H22" s="11"/>
      <c r="I22" s="7"/>
      <c r="J22" s="11"/>
      <c r="K22" s="7"/>
      <c r="L22" s="11"/>
      <c r="M22" s="7"/>
      <c r="N22" s="11"/>
      <c r="O22" s="7"/>
      <c r="P22" s="57"/>
      <c r="Q22" s="58"/>
      <c r="R22" s="57"/>
      <c r="S22" s="58"/>
      <c r="T22" s="57"/>
      <c r="U22" s="58"/>
      <c r="V22" s="11"/>
    </row>
    <row r="24" spans="2:22" x14ac:dyDescent="0.25">
      <c r="C24" s="5" t="s">
        <v>11</v>
      </c>
    </row>
    <row r="25" spans="2:22" x14ac:dyDescent="0.25">
      <c r="C25" s="1" t="s">
        <v>12</v>
      </c>
      <c r="J25" s="34">
        <f>V19/V15*100</f>
        <v>-42.615968815030058</v>
      </c>
      <c r="K25" s="35" t="s">
        <v>37</v>
      </c>
    </row>
    <row r="28" spans="2:22" ht="33" customHeight="1" x14ac:dyDescent="0.25">
      <c r="B28" s="27" t="s">
        <v>13</v>
      </c>
      <c r="C28" s="72" t="s">
        <v>14</v>
      </c>
      <c r="D28" s="72"/>
      <c r="E28" s="72"/>
      <c r="F28" s="72"/>
      <c r="G28" s="72"/>
      <c r="H28" s="72"/>
      <c r="I28" s="72"/>
      <c r="J28" s="72"/>
      <c r="K28" s="72"/>
      <c r="L28" s="73" t="s">
        <v>45</v>
      </c>
      <c r="M28" s="73"/>
      <c r="N28" s="73" t="s">
        <v>46</v>
      </c>
      <c r="O28" s="73"/>
      <c r="P28" s="27" t="s">
        <v>28</v>
      </c>
    </row>
    <row r="29" spans="2:22" x14ac:dyDescent="0.25">
      <c r="B29" s="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4"/>
    </row>
    <row r="30" spans="2:22" x14ac:dyDescent="0.25">
      <c r="B30" s="90" t="s">
        <v>7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</row>
    <row r="31" spans="2:22" x14ac:dyDescent="0.25">
      <c r="B31" s="4">
        <v>1</v>
      </c>
      <c r="C31" s="76" t="s">
        <v>15</v>
      </c>
      <c r="D31" s="76"/>
      <c r="E31" s="76"/>
      <c r="F31" s="76"/>
      <c r="G31" s="76"/>
      <c r="H31" s="76"/>
      <c r="I31" s="76"/>
      <c r="J31" s="76"/>
      <c r="K31" s="76"/>
      <c r="L31" s="74">
        <v>923.74</v>
      </c>
      <c r="M31" s="74"/>
      <c r="N31" s="77">
        <f>'1'!N31:O31</f>
        <v>3.5</v>
      </c>
      <c r="O31" s="77"/>
      <c r="P31" s="17">
        <f>L31*N31*12</f>
        <v>38797.08</v>
      </c>
    </row>
    <row r="32" spans="2:22" x14ac:dyDescent="0.25">
      <c r="B32" s="4">
        <v>2</v>
      </c>
      <c r="C32" s="76" t="s">
        <v>34</v>
      </c>
      <c r="D32" s="76"/>
      <c r="E32" s="76"/>
      <c r="F32" s="76"/>
      <c r="G32" s="76"/>
      <c r="H32" s="76"/>
      <c r="I32" s="76"/>
      <c r="J32" s="76"/>
      <c r="K32" s="76"/>
      <c r="L32" s="74">
        <v>923.74</v>
      </c>
      <c r="M32" s="74"/>
      <c r="N32" s="77">
        <f>'1'!N32:O32</f>
        <v>0.98752150000000005</v>
      </c>
      <c r="O32" s="77"/>
      <c r="P32" s="17">
        <f t="shared" ref="P32:P43" si="2">L32*N32*12</f>
        <v>10946.557324920001</v>
      </c>
    </row>
    <row r="33" spans="2:16" x14ac:dyDescent="0.25">
      <c r="B33" s="4">
        <v>3</v>
      </c>
      <c r="C33" s="76" t="s">
        <v>16</v>
      </c>
      <c r="D33" s="76"/>
      <c r="E33" s="76"/>
      <c r="F33" s="76"/>
      <c r="G33" s="76"/>
      <c r="H33" s="76"/>
      <c r="I33" s="76"/>
      <c r="J33" s="76"/>
      <c r="K33" s="76"/>
      <c r="L33" s="74">
        <v>923.74</v>
      </c>
      <c r="M33" s="74"/>
      <c r="N33" s="77">
        <f>'1'!N33:O33</f>
        <v>2.8257476000000001</v>
      </c>
      <c r="O33" s="77"/>
      <c r="P33" s="17">
        <f t="shared" si="2"/>
        <v>31323.073056288005</v>
      </c>
    </row>
    <row r="34" spans="2:16" x14ac:dyDescent="0.25">
      <c r="B34" s="4">
        <v>4</v>
      </c>
      <c r="C34" s="76" t="s">
        <v>17</v>
      </c>
      <c r="D34" s="76"/>
      <c r="E34" s="76"/>
      <c r="F34" s="76"/>
      <c r="G34" s="76"/>
      <c r="H34" s="76"/>
      <c r="I34" s="76"/>
      <c r="J34" s="76"/>
      <c r="K34" s="76"/>
      <c r="L34" s="74">
        <v>923.74</v>
      </c>
      <c r="M34" s="74"/>
      <c r="N34" s="77">
        <f>'1'!N34:O34</f>
        <v>1</v>
      </c>
      <c r="O34" s="77"/>
      <c r="P34" s="17">
        <f t="shared" si="2"/>
        <v>11084.880000000001</v>
      </c>
    </row>
    <row r="35" spans="2:16" x14ac:dyDescent="0.25">
      <c r="B35" s="4">
        <v>5</v>
      </c>
      <c r="C35" s="76" t="s">
        <v>18</v>
      </c>
      <c r="D35" s="76"/>
      <c r="E35" s="76"/>
      <c r="F35" s="76"/>
      <c r="G35" s="76"/>
      <c r="H35" s="76"/>
      <c r="I35" s="76"/>
      <c r="J35" s="76"/>
      <c r="K35" s="76"/>
      <c r="L35" s="74">
        <v>923.74</v>
      </c>
      <c r="M35" s="74"/>
      <c r="N35" s="77">
        <f>'1'!N35:O35</f>
        <v>2</v>
      </c>
      <c r="O35" s="77"/>
      <c r="P35" s="17">
        <f t="shared" si="2"/>
        <v>22169.760000000002</v>
      </c>
    </row>
    <row r="36" spans="2:16" x14ac:dyDescent="0.25">
      <c r="B36" s="4">
        <v>6</v>
      </c>
      <c r="C36" s="76" t="s">
        <v>24</v>
      </c>
      <c r="D36" s="76"/>
      <c r="E36" s="76"/>
      <c r="F36" s="76"/>
      <c r="G36" s="76"/>
      <c r="H36" s="76"/>
      <c r="I36" s="76"/>
      <c r="J36" s="76"/>
      <c r="K36" s="76"/>
      <c r="L36" s="74">
        <v>923.74</v>
      </c>
      <c r="M36" s="74"/>
      <c r="N36" s="77">
        <f>'1'!N36:O36</f>
        <v>3</v>
      </c>
      <c r="O36" s="77"/>
      <c r="P36" s="17">
        <f t="shared" si="2"/>
        <v>33254.639999999999</v>
      </c>
    </row>
    <row r="37" spans="2:16" x14ac:dyDescent="0.25">
      <c r="B37" s="4">
        <v>7</v>
      </c>
      <c r="C37" s="76" t="s">
        <v>19</v>
      </c>
      <c r="D37" s="76"/>
      <c r="E37" s="76"/>
      <c r="F37" s="76"/>
      <c r="G37" s="76"/>
      <c r="H37" s="76"/>
      <c r="I37" s="76"/>
      <c r="J37" s="76"/>
      <c r="K37" s="76"/>
      <c r="L37" s="74">
        <v>923.74</v>
      </c>
      <c r="M37" s="74"/>
      <c r="N37" s="77">
        <f>'1'!N37:O37</f>
        <v>0.5</v>
      </c>
      <c r="O37" s="77"/>
      <c r="P37" s="17">
        <f t="shared" si="2"/>
        <v>5542.4400000000005</v>
      </c>
    </row>
    <row r="38" spans="2:16" x14ac:dyDescent="0.25">
      <c r="B38" s="4">
        <v>8</v>
      </c>
      <c r="C38" s="76" t="s">
        <v>20</v>
      </c>
      <c r="D38" s="76"/>
      <c r="E38" s="76"/>
      <c r="F38" s="76"/>
      <c r="G38" s="76"/>
      <c r="H38" s="76"/>
      <c r="I38" s="76"/>
      <c r="J38" s="76"/>
      <c r="K38" s="76"/>
      <c r="L38" s="74">
        <v>923.74</v>
      </c>
      <c r="M38" s="74"/>
      <c r="N38" s="77">
        <f>'1'!N38:O38</f>
        <v>1.694977</v>
      </c>
      <c r="O38" s="77"/>
      <c r="P38" s="17">
        <f t="shared" si="2"/>
        <v>18788.616647759998</v>
      </c>
    </row>
    <row r="39" spans="2:16" x14ac:dyDescent="0.25">
      <c r="B39" s="4">
        <v>9</v>
      </c>
      <c r="C39" s="76" t="s">
        <v>84</v>
      </c>
      <c r="D39" s="76"/>
      <c r="E39" s="76"/>
      <c r="F39" s="76"/>
      <c r="G39" s="76"/>
      <c r="H39" s="76"/>
      <c r="I39" s="76"/>
      <c r="J39" s="76"/>
      <c r="K39" s="76"/>
      <c r="L39" s="74">
        <v>923.74</v>
      </c>
      <c r="M39" s="74"/>
      <c r="N39" s="77">
        <f>'1'!N39:O39</f>
        <v>0.1</v>
      </c>
      <c r="O39" s="77"/>
      <c r="P39" s="17">
        <f t="shared" si="2"/>
        <v>1108.4880000000001</v>
      </c>
    </row>
    <row r="40" spans="2:16" x14ac:dyDescent="0.25">
      <c r="B40" s="4">
        <v>10</v>
      </c>
      <c r="C40" s="76" t="s">
        <v>21</v>
      </c>
      <c r="D40" s="76"/>
      <c r="E40" s="76"/>
      <c r="F40" s="76"/>
      <c r="G40" s="76"/>
      <c r="H40" s="76"/>
      <c r="I40" s="76"/>
      <c r="J40" s="76"/>
      <c r="K40" s="76"/>
      <c r="L40" s="74">
        <v>923.74</v>
      </c>
      <c r="M40" s="74"/>
      <c r="N40" s="77">
        <f>'1'!N40:O40</f>
        <v>0.2</v>
      </c>
      <c r="O40" s="77"/>
      <c r="P40" s="17">
        <f t="shared" si="2"/>
        <v>2216.9760000000001</v>
      </c>
    </row>
    <row r="41" spans="2:16" x14ac:dyDescent="0.25">
      <c r="B41" s="4">
        <v>11</v>
      </c>
      <c r="C41" s="76" t="s">
        <v>22</v>
      </c>
      <c r="D41" s="76"/>
      <c r="E41" s="76"/>
      <c r="F41" s="76"/>
      <c r="G41" s="76"/>
      <c r="H41" s="76"/>
      <c r="I41" s="76"/>
      <c r="J41" s="76"/>
      <c r="K41" s="76"/>
      <c r="L41" s="74">
        <v>923.74</v>
      </c>
      <c r="M41" s="74"/>
      <c r="N41" s="77">
        <f>'1'!N41:O41</f>
        <v>0.5</v>
      </c>
      <c r="O41" s="77"/>
      <c r="P41" s="17">
        <f t="shared" si="2"/>
        <v>5542.4400000000005</v>
      </c>
    </row>
    <row r="42" spans="2:16" hidden="1" x14ac:dyDescent="0.25">
      <c r="B42" s="4">
        <v>12</v>
      </c>
      <c r="C42" s="76" t="s">
        <v>23</v>
      </c>
      <c r="D42" s="76"/>
      <c r="E42" s="76"/>
      <c r="F42" s="76"/>
      <c r="G42" s="76"/>
      <c r="H42" s="76"/>
      <c r="I42" s="76"/>
      <c r="J42" s="76"/>
      <c r="K42" s="76"/>
      <c r="L42" s="74">
        <v>923.74</v>
      </c>
      <c r="M42" s="74"/>
      <c r="N42" s="77">
        <f>'1'!N42:O42</f>
        <v>0</v>
      </c>
      <c r="O42" s="77"/>
      <c r="P42" s="17">
        <f t="shared" si="2"/>
        <v>0</v>
      </c>
    </row>
    <row r="43" spans="2:16" x14ac:dyDescent="0.25">
      <c r="B43" s="4">
        <v>12</v>
      </c>
      <c r="C43" s="76" t="s">
        <v>25</v>
      </c>
      <c r="D43" s="76"/>
      <c r="E43" s="76"/>
      <c r="F43" s="76"/>
      <c r="G43" s="76"/>
      <c r="H43" s="76"/>
      <c r="I43" s="76"/>
      <c r="J43" s="76"/>
      <c r="K43" s="76"/>
      <c r="L43" s="74">
        <v>923.74</v>
      </c>
      <c r="M43" s="74"/>
      <c r="N43" s="77">
        <f>'1'!N43:O43</f>
        <v>0.5</v>
      </c>
      <c r="O43" s="77"/>
      <c r="P43" s="17">
        <f t="shared" si="2"/>
        <v>5542.4400000000005</v>
      </c>
    </row>
    <row r="44" spans="2:16" x14ac:dyDescent="0.25">
      <c r="B44" s="38"/>
      <c r="C44" s="78" t="s">
        <v>26</v>
      </c>
      <c r="D44" s="78"/>
      <c r="E44" s="78"/>
      <c r="F44" s="78"/>
      <c r="G44" s="78"/>
      <c r="H44" s="78"/>
      <c r="I44" s="78"/>
      <c r="J44" s="78"/>
      <c r="K44" s="78"/>
      <c r="L44" s="79">
        <v>923.74</v>
      </c>
      <c r="M44" s="79"/>
      <c r="N44" s="91">
        <f>SUM(N31:O43)</f>
        <v>16.808246099999998</v>
      </c>
      <c r="O44" s="91"/>
      <c r="P44" s="39">
        <f>SUM(P31:P43)</f>
        <v>186317.39102896804</v>
      </c>
    </row>
    <row r="45" spans="2:16" hidden="1" x14ac:dyDescent="0.25">
      <c r="B45" s="90" t="s">
        <v>27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</row>
    <row r="46" spans="2:16" hidden="1" x14ac:dyDescent="0.25">
      <c r="B46" s="4">
        <v>1</v>
      </c>
      <c r="C46" s="82" t="s">
        <v>73</v>
      </c>
      <c r="D46" s="83"/>
      <c r="E46" s="83"/>
      <c r="F46" s="83"/>
      <c r="G46" s="83"/>
      <c r="H46" s="83"/>
      <c r="I46" s="83"/>
      <c r="J46" s="83"/>
      <c r="K46" s="84"/>
      <c r="L46" s="74">
        <v>923.74</v>
      </c>
      <c r="M46" s="74"/>
      <c r="N46" s="74"/>
      <c r="O46" s="74"/>
      <c r="P46" s="17">
        <f>L46*N46*6</f>
        <v>0</v>
      </c>
    </row>
    <row r="47" spans="2:16" hidden="1" x14ac:dyDescent="0.25">
      <c r="B47" s="4">
        <v>2</v>
      </c>
      <c r="C47" s="82" t="s">
        <v>74</v>
      </c>
      <c r="D47" s="83"/>
      <c r="E47" s="83"/>
      <c r="F47" s="83"/>
      <c r="G47" s="83"/>
      <c r="H47" s="83"/>
      <c r="I47" s="83"/>
      <c r="J47" s="83"/>
      <c r="K47" s="84"/>
      <c r="L47" s="74">
        <v>923.74</v>
      </c>
      <c r="M47" s="74"/>
      <c r="N47" s="74"/>
      <c r="O47" s="74"/>
      <c r="P47" s="17">
        <f>L47*N47*6</f>
        <v>0</v>
      </c>
    </row>
    <row r="48" spans="2:16" hidden="1" x14ac:dyDescent="0.25">
      <c r="B48" s="4">
        <v>3</v>
      </c>
      <c r="C48" s="74"/>
      <c r="D48" s="74"/>
      <c r="E48" s="74"/>
      <c r="F48" s="74"/>
      <c r="G48" s="74"/>
      <c r="H48" s="74"/>
      <c r="I48" s="74"/>
      <c r="J48" s="74"/>
      <c r="K48" s="74"/>
      <c r="L48" s="74">
        <v>923.74</v>
      </c>
      <c r="M48" s="74"/>
      <c r="N48" s="74"/>
      <c r="O48" s="74"/>
      <c r="P48" s="4"/>
    </row>
    <row r="49" spans="2:16" hidden="1" x14ac:dyDescent="0.25">
      <c r="B49" s="4">
        <v>4</v>
      </c>
      <c r="C49" s="74"/>
      <c r="D49" s="74"/>
      <c r="E49" s="74"/>
      <c r="F49" s="74"/>
      <c r="G49" s="74"/>
      <c r="H49" s="74"/>
      <c r="I49" s="74"/>
      <c r="J49" s="74"/>
      <c r="K49" s="74"/>
      <c r="L49" s="74">
        <v>923.74</v>
      </c>
      <c r="M49" s="74"/>
      <c r="N49" s="74"/>
      <c r="O49" s="74"/>
      <c r="P49" s="4"/>
    </row>
    <row r="50" spans="2:16" hidden="1" x14ac:dyDescent="0.25">
      <c r="B50" s="38"/>
      <c r="C50" s="86" t="s">
        <v>29</v>
      </c>
      <c r="D50" s="87"/>
      <c r="E50" s="87"/>
      <c r="F50" s="87"/>
      <c r="G50" s="87"/>
      <c r="H50" s="87"/>
      <c r="I50" s="87"/>
      <c r="J50" s="87"/>
      <c r="K50" s="88"/>
      <c r="L50" s="79">
        <v>923.74</v>
      </c>
      <c r="M50" s="79"/>
      <c r="N50" s="79">
        <f>SUM(N46:O49)</f>
        <v>0</v>
      </c>
      <c r="O50" s="79"/>
      <c r="P50" s="39">
        <f>SUM(P46:P49)</f>
        <v>0</v>
      </c>
    </row>
    <row r="51" spans="2:16" hidden="1" x14ac:dyDescent="0.25">
      <c r="B51" s="90" t="s">
        <v>30</v>
      </c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</row>
    <row r="52" spans="2:16" hidden="1" x14ac:dyDescent="0.25">
      <c r="B52" s="38"/>
      <c r="C52" s="86" t="s">
        <v>31</v>
      </c>
      <c r="D52" s="87"/>
      <c r="E52" s="87"/>
      <c r="F52" s="87"/>
      <c r="G52" s="87"/>
      <c r="H52" s="87"/>
      <c r="I52" s="87"/>
      <c r="J52" s="87"/>
      <c r="K52" s="88"/>
      <c r="L52" s="79">
        <v>923.74</v>
      </c>
      <c r="M52" s="79"/>
      <c r="N52" s="79">
        <v>0</v>
      </c>
      <c r="O52" s="79"/>
      <c r="P52" s="38">
        <v>0</v>
      </c>
    </row>
    <row r="55" spans="2:16" x14ac:dyDescent="0.25">
      <c r="C55" s="1" t="s">
        <v>38</v>
      </c>
    </row>
    <row r="56" spans="2:16" x14ac:dyDescent="0.25">
      <c r="C56" s="1" t="s">
        <v>39</v>
      </c>
    </row>
    <row r="57" spans="2:16" x14ac:dyDescent="0.25">
      <c r="C57" s="4" t="s">
        <v>95</v>
      </c>
      <c r="D57" s="22">
        <f>N44</f>
        <v>16.808246099999998</v>
      </c>
    </row>
    <row r="60" spans="2:16" x14ac:dyDescent="0.25">
      <c r="C60" s="1" t="s">
        <v>40</v>
      </c>
      <c r="D60" s="2"/>
      <c r="E60" s="2"/>
      <c r="F60" s="2"/>
      <c r="G60" s="2"/>
      <c r="J60" s="1" t="s">
        <v>41</v>
      </c>
    </row>
    <row r="63" spans="2:16" ht="24.75" customHeight="1" x14ac:dyDescent="0.25">
      <c r="C63" s="1" t="s">
        <v>42</v>
      </c>
      <c r="D63" s="2"/>
      <c r="E63" s="2"/>
      <c r="F63" s="1" t="s">
        <v>43</v>
      </c>
    </row>
    <row r="64" spans="2:16" ht="25.5" customHeight="1" x14ac:dyDescent="0.25">
      <c r="D64" s="2"/>
      <c r="E64" s="2"/>
      <c r="F64" s="1" t="s">
        <v>43</v>
      </c>
    </row>
    <row r="65" spans="4:6" ht="24.75" customHeight="1" x14ac:dyDescent="0.25">
      <c r="D65" s="2"/>
      <c r="E65" s="2"/>
      <c r="F65" s="1" t="s">
        <v>43</v>
      </c>
    </row>
  </sheetData>
  <mergeCells count="115">
    <mergeCell ref="B51:P51"/>
    <mergeCell ref="C52:K52"/>
    <mergeCell ref="L52:M52"/>
    <mergeCell ref="N52:O52"/>
    <mergeCell ref="C49:K49"/>
    <mergeCell ref="L49:M49"/>
    <mergeCell ref="N49:O49"/>
    <mergeCell ref="C50:K50"/>
    <mergeCell ref="L50:M50"/>
    <mergeCell ref="N50:O50"/>
    <mergeCell ref="B45:P45"/>
    <mergeCell ref="C46:K46"/>
    <mergeCell ref="L46:M46"/>
    <mergeCell ref="N46:O46"/>
    <mergeCell ref="C47:K47"/>
    <mergeCell ref="L47:M47"/>
    <mergeCell ref="N47:O47"/>
    <mergeCell ref="C48:K48"/>
    <mergeCell ref="L48:M48"/>
    <mergeCell ref="N48:O48"/>
    <mergeCell ref="C42:K42"/>
    <mergeCell ref="L42:M42"/>
    <mergeCell ref="N42:O42"/>
    <mergeCell ref="C43:K43"/>
    <mergeCell ref="L43:M43"/>
    <mergeCell ref="N43:O43"/>
    <mergeCell ref="C44:K44"/>
    <mergeCell ref="L44:M44"/>
    <mergeCell ref="N44:O44"/>
    <mergeCell ref="C39:K39"/>
    <mergeCell ref="L39:M39"/>
    <mergeCell ref="N39:O39"/>
    <mergeCell ref="C40:K40"/>
    <mergeCell ref="L40:M40"/>
    <mergeCell ref="N40:O40"/>
    <mergeCell ref="C41:K41"/>
    <mergeCell ref="L41:M41"/>
    <mergeCell ref="N41:O41"/>
    <mergeCell ref="C36:K36"/>
    <mergeCell ref="L36:M36"/>
    <mergeCell ref="N36:O36"/>
    <mergeCell ref="C37:K37"/>
    <mergeCell ref="L37:M37"/>
    <mergeCell ref="N37:O37"/>
    <mergeCell ref="C38:K38"/>
    <mergeCell ref="L38:M38"/>
    <mergeCell ref="N38:O38"/>
    <mergeCell ref="C33:K33"/>
    <mergeCell ref="L33:M33"/>
    <mergeCell ref="N33:O33"/>
    <mergeCell ref="C34:K34"/>
    <mergeCell ref="L34:M34"/>
    <mergeCell ref="N34:O34"/>
    <mergeCell ref="C35:K35"/>
    <mergeCell ref="L35:M35"/>
    <mergeCell ref="N35:O35"/>
    <mergeCell ref="C29:K29"/>
    <mergeCell ref="L29:M29"/>
    <mergeCell ref="N29:O29"/>
    <mergeCell ref="B30:P30"/>
    <mergeCell ref="C31:K31"/>
    <mergeCell ref="L31:M31"/>
    <mergeCell ref="N31:O31"/>
    <mergeCell ref="C32:K32"/>
    <mergeCell ref="L32:M32"/>
    <mergeCell ref="N32:O32"/>
    <mergeCell ref="C28:K28"/>
    <mergeCell ref="L28:M28"/>
    <mergeCell ref="N28:O28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2:E22"/>
    <mergeCell ref="B2:V2"/>
    <mergeCell ref="B3:V3"/>
    <mergeCell ref="B4:V4"/>
    <mergeCell ref="P12:Q12"/>
    <mergeCell ref="P13:Q13"/>
    <mergeCell ref="P14:Q14"/>
    <mergeCell ref="P15:Q15"/>
    <mergeCell ref="P16:Q16"/>
    <mergeCell ref="T12:U12"/>
    <mergeCell ref="T13:U13"/>
    <mergeCell ref="T14:U14"/>
    <mergeCell ref="T15:U15"/>
    <mergeCell ref="T16:U16"/>
    <mergeCell ref="T18:U18"/>
    <mergeCell ref="T19:U19"/>
    <mergeCell ref="T20:U20"/>
    <mergeCell ref="T22:U22"/>
    <mergeCell ref="P18:Q18"/>
    <mergeCell ref="P19:Q19"/>
    <mergeCell ref="P20:Q20"/>
    <mergeCell ref="P22:Q22"/>
    <mergeCell ref="R12:S12"/>
    <mergeCell ref="R13:S13"/>
    <mergeCell ref="R14:S14"/>
    <mergeCell ref="R15:S15"/>
    <mergeCell ref="R16:S16"/>
    <mergeCell ref="R18:S18"/>
    <mergeCell ref="R19:S19"/>
    <mergeCell ref="R20:S20"/>
    <mergeCell ref="R22:S22"/>
    <mergeCell ref="P17:Q17"/>
    <mergeCell ref="R17:S17"/>
    <mergeCell ref="T17:U17"/>
    <mergeCell ref="P21:Q21"/>
    <mergeCell ref="R21:S21"/>
    <mergeCell ref="T21:U21"/>
  </mergeCells>
  <pageMargins left="0.25" right="0.25" top="0.75" bottom="0.75" header="0.3" footer="0.3"/>
  <pageSetup paperSize="9" scale="4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B1:V65"/>
  <sheetViews>
    <sheetView view="pageBreakPreview" zoomScale="77" zoomScaleNormal="84" zoomScaleSheetLayoutView="77" workbookViewId="0">
      <selection activeCell="L17" sqref="L17"/>
    </sheetView>
  </sheetViews>
  <sheetFormatPr defaultRowHeight="15.75" x14ac:dyDescent="0.25"/>
  <cols>
    <col min="1" max="1" width="3.140625" style="1" customWidth="1"/>
    <col min="2" max="2" width="4" style="1" bestFit="1" customWidth="1"/>
    <col min="3" max="3" width="39.42578125" style="1" customWidth="1"/>
    <col min="4" max="4" width="13.28515625" style="1" customWidth="1"/>
    <col min="5" max="5" width="11.7109375" style="1" customWidth="1"/>
    <col min="6" max="6" width="10.42578125" style="1" customWidth="1"/>
    <col min="7" max="7" width="1.5703125" style="1" hidden="1" customWidth="1"/>
    <col min="8" max="8" width="12.5703125" style="1" hidden="1" customWidth="1"/>
    <col min="9" max="9" width="1.5703125" style="1" customWidth="1"/>
    <col min="10" max="10" width="11.140625" style="1" customWidth="1"/>
    <col min="11" max="11" width="2.28515625" style="1" customWidth="1"/>
    <col min="12" max="12" width="12.140625" style="1" customWidth="1"/>
    <col min="13" max="13" width="1.5703125" style="1" customWidth="1"/>
    <col min="14" max="14" width="15.7109375" style="1" customWidth="1"/>
    <col min="15" max="15" width="1.7109375" style="1" customWidth="1"/>
    <col min="16" max="16" width="12" style="1" customWidth="1"/>
    <col min="17" max="17" width="10.28515625" style="1" customWidth="1"/>
    <col min="18" max="18" width="11" style="1" customWidth="1"/>
    <col min="19" max="19" width="10.28515625" style="1" customWidth="1"/>
    <col min="20" max="20" width="14.140625" style="1" customWidth="1"/>
    <col min="21" max="21" width="10.85546875" style="1" customWidth="1"/>
    <col min="22" max="22" width="11" style="1" customWidth="1"/>
    <col min="23" max="16384" width="9.140625" style="1"/>
  </cols>
  <sheetData>
    <row r="1" spans="2:22" ht="16.5" thickBot="1" x14ac:dyDescent="0.3"/>
    <row r="2" spans="2:22" x14ac:dyDescent="0.25">
      <c r="B2" s="63" t="s">
        <v>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5"/>
    </row>
    <row r="3" spans="2:22" x14ac:dyDescent="0.25">
      <c r="B3" s="66" t="str">
        <f>'1'!B3:V3</f>
        <v>с 1.01.2016 по 31.12.2016 г.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/>
    </row>
    <row r="4" spans="2:22" ht="16.5" thickBot="1" x14ac:dyDescent="0.3">
      <c r="B4" s="69" t="s">
        <v>32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1"/>
    </row>
    <row r="5" spans="2:22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2:22" x14ac:dyDescent="0.25">
      <c r="C6" s="29" t="s">
        <v>60</v>
      </c>
    </row>
    <row r="8" spans="2:22" x14ac:dyDescent="0.25">
      <c r="C8" s="1" t="s">
        <v>33</v>
      </c>
      <c r="D8" s="2">
        <v>916.5</v>
      </c>
    </row>
    <row r="9" spans="2:22" x14ac:dyDescent="0.25">
      <c r="C9" s="1" t="s">
        <v>35</v>
      </c>
      <c r="D9" s="3">
        <v>41</v>
      </c>
    </row>
    <row r="10" spans="2:22" x14ac:dyDescent="0.25">
      <c r="C10" s="1" t="s">
        <v>36</v>
      </c>
      <c r="D10" s="3">
        <v>19</v>
      </c>
    </row>
    <row r="12" spans="2:22" ht="63" x14ac:dyDescent="0.25">
      <c r="C12" s="27" t="s">
        <v>1</v>
      </c>
      <c r="D12" s="59" t="str">
        <f>'1'!D12:E12</f>
        <v>Содержание общего имущества дома</v>
      </c>
      <c r="E12" s="60"/>
      <c r="F12" s="27" t="s">
        <v>8</v>
      </c>
      <c r="G12" s="7"/>
      <c r="H12" s="27" t="s">
        <v>9</v>
      </c>
      <c r="I12" s="7"/>
      <c r="J12" s="28" t="str">
        <f>'1'!J12</f>
        <v>Вывоз ТБО (руб./чел.)</v>
      </c>
      <c r="K12" s="7"/>
      <c r="L12" s="28" t="s">
        <v>67</v>
      </c>
      <c r="M12" s="7"/>
      <c r="N12" s="28" t="str">
        <f>'1'!N12</f>
        <v>Обслуживание антены (руб./лиц.сч.)</v>
      </c>
      <c r="O12" s="8"/>
      <c r="P12" s="59" t="str">
        <f>'1'!P12</f>
        <v xml:space="preserve">Хол. вода </v>
      </c>
      <c r="Q12" s="60"/>
      <c r="R12" s="59" t="str">
        <f>'1'!R12</f>
        <v xml:space="preserve">Гор. вода </v>
      </c>
      <c r="S12" s="60"/>
      <c r="T12" s="59" t="str">
        <f>'1'!T12</f>
        <v>Канализация</v>
      </c>
      <c r="U12" s="60"/>
      <c r="V12" s="27" t="s">
        <v>10</v>
      </c>
    </row>
    <row r="13" spans="2:22" x14ac:dyDescent="0.25">
      <c r="C13" s="9" t="s">
        <v>2</v>
      </c>
      <c r="D13" s="57"/>
      <c r="E13" s="58"/>
      <c r="F13" s="11"/>
      <c r="G13" s="7"/>
      <c r="H13" s="11"/>
      <c r="I13" s="7"/>
      <c r="J13" s="11"/>
      <c r="K13" s="7"/>
      <c r="L13" s="11"/>
      <c r="M13" s="7"/>
      <c r="N13" s="11"/>
      <c r="O13" s="7"/>
      <c r="P13" s="57"/>
      <c r="Q13" s="58"/>
      <c r="R13" s="57"/>
      <c r="S13" s="58"/>
      <c r="T13" s="57"/>
      <c r="U13" s="58"/>
      <c r="V13" s="30">
        <f>V14</f>
        <v>-206861.57</v>
      </c>
    </row>
    <row r="14" spans="2:22" ht="47.25" x14ac:dyDescent="0.25">
      <c r="C14" s="10" t="str">
        <f>'1'!C14</f>
        <v>Остаток с предыдущего периода (задолженность(-), переплата (+)) на 01.01.2016г.</v>
      </c>
      <c r="D14" s="57"/>
      <c r="E14" s="58"/>
      <c r="F14" s="11">
        <f>-41218.56-2427.09</f>
        <v>-43645.649999999994</v>
      </c>
      <c r="G14" s="7"/>
      <c r="H14" s="11">
        <v>0</v>
      </c>
      <c r="I14" s="7"/>
      <c r="J14" s="11">
        <v>-5256.77</v>
      </c>
      <c r="K14" s="7"/>
      <c r="L14" s="11">
        <v>-114109.79</v>
      </c>
      <c r="M14" s="7"/>
      <c r="N14" s="11">
        <v>-2937.4</v>
      </c>
      <c r="O14" s="7"/>
      <c r="P14" s="57">
        <v>-4063.23</v>
      </c>
      <c r="Q14" s="58"/>
      <c r="R14" s="57">
        <v>-26261.47</v>
      </c>
      <c r="S14" s="58"/>
      <c r="T14" s="57">
        <v>-10587.26</v>
      </c>
      <c r="U14" s="58"/>
      <c r="V14" s="14">
        <f>F14+H14+J14+L14+N14+P14+Q14+R14+S14+T14+U14</f>
        <v>-206861.57</v>
      </c>
    </row>
    <row r="15" spans="2:22" x14ac:dyDescent="0.25">
      <c r="C15" s="9" t="s">
        <v>3</v>
      </c>
      <c r="D15" s="57"/>
      <c r="E15" s="58"/>
      <c r="F15" s="11">
        <v>169390.07999999999</v>
      </c>
      <c r="G15" s="7"/>
      <c r="H15" s="14"/>
      <c r="I15" s="7"/>
      <c r="J15" s="14">
        <v>19692.8</v>
      </c>
      <c r="K15" s="7"/>
      <c r="L15" s="11">
        <v>443509.62</v>
      </c>
      <c r="M15" s="7"/>
      <c r="N15" s="11">
        <v>7200</v>
      </c>
      <c r="O15" s="7"/>
      <c r="P15" s="61">
        <f>15618.36+326.37</f>
        <v>15944.730000000001</v>
      </c>
      <c r="Q15" s="62"/>
      <c r="R15" s="61">
        <f>79286.58+1417.73</f>
        <v>80704.31</v>
      </c>
      <c r="S15" s="62"/>
      <c r="T15" s="61">
        <f>19383.49+14932.5</f>
        <v>34315.990000000005</v>
      </c>
      <c r="U15" s="62"/>
      <c r="V15" s="11">
        <f>F15+H15+J15+L15+N15+P15+Q15+R15+S15+T15+U15</f>
        <v>770757.53</v>
      </c>
    </row>
    <row r="16" spans="2:22" x14ac:dyDescent="0.25">
      <c r="C16" s="9" t="s">
        <v>4</v>
      </c>
      <c r="D16" s="57"/>
      <c r="E16" s="58"/>
      <c r="F16" s="11">
        <f>177127.26+789.05</f>
        <v>177916.31</v>
      </c>
      <c r="G16" s="7"/>
      <c r="H16" s="14"/>
      <c r="I16" s="7"/>
      <c r="J16" s="14">
        <v>18805.419999999998</v>
      </c>
      <c r="K16" s="7"/>
      <c r="L16" s="11">
        <v>465536.99</v>
      </c>
      <c r="M16" s="7"/>
      <c r="N16" s="14">
        <v>7652.22</v>
      </c>
      <c r="O16" s="7"/>
      <c r="P16" s="61">
        <f>16007.11+217.58</f>
        <v>16224.69</v>
      </c>
      <c r="Q16" s="62"/>
      <c r="R16" s="61">
        <f>80501.06+900.68</f>
        <v>81401.739999999991</v>
      </c>
      <c r="S16" s="62"/>
      <c r="T16" s="61">
        <f>19285.96+14031.13</f>
        <v>33317.089999999997</v>
      </c>
      <c r="U16" s="62"/>
      <c r="V16" s="12">
        <f>F16+H16+J16+L16+N16+P16+Q16+R16+S16+T16+U16</f>
        <v>800854.45999999985</v>
      </c>
    </row>
    <row r="17" spans="2:22" ht="31.5" x14ac:dyDescent="0.25">
      <c r="C17" s="10" t="s">
        <v>5</v>
      </c>
      <c r="D17" s="57"/>
      <c r="E17" s="58"/>
      <c r="F17" s="14">
        <f>P44+P50</f>
        <v>184857.0906078</v>
      </c>
      <c r="G17" s="7"/>
      <c r="H17" s="11">
        <f>P52</f>
        <v>0</v>
      </c>
      <c r="I17" s="7"/>
      <c r="J17" s="14">
        <f>J15+18637.28</f>
        <v>38330.080000000002</v>
      </c>
      <c r="K17" s="7"/>
      <c r="L17" s="11">
        <f>(D8*L20*6)+(D8*L21*6)</f>
        <v>440854.82999999996</v>
      </c>
      <c r="M17" s="7"/>
      <c r="N17" s="14">
        <f>'1'!N17</f>
        <v>11336.326999999999</v>
      </c>
      <c r="O17" s="7"/>
      <c r="P17" s="61">
        <f>P15+Q15+114670.71</f>
        <v>130615.44</v>
      </c>
      <c r="Q17" s="62"/>
      <c r="R17" s="61">
        <f>R15+S15</f>
        <v>80704.31</v>
      </c>
      <c r="S17" s="62"/>
      <c r="T17" s="61">
        <f>T15+U15</f>
        <v>34315.990000000005</v>
      </c>
      <c r="U17" s="62"/>
      <c r="V17" s="12">
        <f>F17+H17+J17+L17+N17+P17+Q17+R17+S17+T17+U17</f>
        <v>921014.06760780001</v>
      </c>
    </row>
    <row r="18" spans="2:22" ht="31.5" x14ac:dyDescent="0.25">
      <c r="C18" s="10" t="str">
        <f>'1'!C18</f>
        <v>Текущий остаток (задолженность (-), переплата (+)) на 31.12.2016 г.</v>
      </c>
      <c r="D18" s="57"/>
      <c r="E18" s="58"/>
      <c r="F18" s="31">
        <f>F16-F15+F14</f>
        <v>-35119.419999999984</v>
      </c>
      <c r="G18" s="40"/>
      <c r="H18" s="31">
        <f>H16-H15+H14</f>
        <v>0</v>
      </c>
      <c r="I18" s="40"/>
      <c r="J18" s="31">
        <f>J16-J15+J14</f>
        <v>-6144.1500000000015</v>
      </c>
      <c r="K18" s="40"/>
      <c r="L18" s="31">
        <f>L16-L15+L14</f>
        <v>-92082.42</v>
      </c>
      <c r="M18" s="40"/>
      <c r="N18" s="31">
        <f>N16-N15+N14</f>
        <v>-2485.1799999999998</v>
      </c>
      <c r="O18" s="40"/>
      <c r="P18" s="55">
        <f t="shared" ref="P18:V18" si="0">P16-P15+P14</f>
        <v>-3783.2700000000009</v>
      </c>
      <c r="Q18" s="56"/>
      <c r="R18" s="55">
        <f t="shared" si="0"/>
        <v>-25564.040000000008</v>
      </c>
      <c r="S18" s="56"/>
      <c r="T18" s="55">
        <f t="shared" si="0"/>
        <v>-11586.160000000009</v>
      </c>
      <c r="U18" s="56"/>
      <c r="V18" s="31">
        <f t="shared" si="0"/>
        <v>-176764.64000000019</v>
      </c>
    </row>
    <row r="19" spans="2:22" x14ac:dyDescent="0.25">
      <c r="C19" s="9" t="s">
        <v>6</v>
      </c>
      <c r="D19" s="57"/>
      <c r="E19" s="58"/>
      <c r="F19" s="11"/>
      <c r="G19" s="7"/>
      <c r="H19" s="11"/>
      <c r="I19" s="7"/>
      <c r="J19" s="11"/>
      <c r="K19" s="7"/>
      <c r="L19" s="11"/>
      <c r="M19" s="7"/>
      <c r="N19" s="11"/>
      <c r="O19" s="7"/>
      <c r="P19" s="57"/>
      <c r="Q19" s="58"/>
      <c r="R19" s="57"/>
      <c r="S19" s="58"/>
      <c r="T19" s="57"/>
      <c r="U19" s="58"/>
      <c r="V19" s="30">
        <f>F18+H18+J18+L18+N18+P18+Q18+S18+T18+U18+R18</f>
        <v>-176764.63999999998</v>
      </c>
    </row>
    <row r="20" spans="2:22" x14ac:dyDescent="0.25">
      <c r="C20" s="9" t="str">
        <f>'1'!C20</f>
        <v>Тариф (руб/м²), 1-е полугодие</v>
      </c>
      <c r="D20" s="57"/>
      <c r="E20" s="58"/>
      <c r="F20" s="13">
        <f>'1'!F20</f>
        <v>15.31</v>
      </c>
      <c r="G20" s="7"/>
      <c r="H20" s="11">
        <f>'1'!H20</f>
        <v>37.700000000000003</v>
      </c>
      <c r="I20" s="7"/>
      <c r="J20" s="13">
        <f>'1'!J20</f>
        <v>44.32</v>
      </c>
      <c r="K20" s="7"/>
      <c r="L20" s="11">
        <v>39.520000000000003</v>
      </c>
      <c r="M20" s="7"/>
      <c r="N20" s="11">
        <f>'1'!N20</f>
        <v>50</v>
      </c>
      <c r="O20" s="7"/>
      <c r="P20" s="57" t="str">
        <f>'1'!P20</f>
        <v xml:space="preserve">15,02 руб./м3 </v>
      </c>
      <c r="Q20" s="58"/>
      <c r="R20" s="57" t="str">
        <f>'1'!R20</f>
        <v>99,55 руб./м3</v>
      </c>
      <c r="S20" s="58"/>
      <c r="T20" s="57" t="str">
        <f>'1'!T20</f>
        <v>18,66 руб./м3</v>
      </c>
      <c r="U20" s="58"/>
      <c r="V20" s="11"/>
    </row>
    <row r="21" spans="2:22" x14ac:dyDescent="0.25">
      <c r="C21" s="9" t="str">
        <f>'1'!C21</f>
        <v>Тариф (руб/м²), 2-е полугодие</v>
      </c>
      <c r="D21" s="50"/>
      <c r="E21" s="51"/>
      <c r="F21" s="21">
        <f>'1'!F21</f>
        <v>15.31</v>
      </c>
      <c r="G21" s="7"/>
      <c r="H21" s="21"/>
      <c r="I21" s="7"/>
      <c r="J21" s="21">
        <f>'1'!J21</f>
        <v>44.32</v>
      </c>
      <c r="K21" s="7"/>
      <c r="L21" s="21">
        <f>'4'!L21</f>
        <v>40.65</v>
      </c>
      <c r="M21" s="7"/>
      <c r="N21" s="21">
        <f>'1'!N21</f>
        <v>50</v>
      </c>
      <c r="O21" s="7"/>
      <c r="P21" s="57" t="str">
        <f>'1'!P21:Q21</f>
        <v>15,63 руб./м³</v>
      </c>
      <c r="Q21" s="58"/>
      <c r="R21" s="57" t="str">
        <f>'1'!R21:S21</f>
        <v>102,59 руб./м³</v>
      </c>
      <c r="S21" s="58"/>
      <c r="T21" s="57" t="str">
        <f>'1'!T21:U21</f>
        <v>19,41 руб./м³</v>
      </c>
      <c r="U21" s="58"/>
      <c r="V21" s="21"/>
    </row>
    <row r="22" spans="2:22" x14ac:dyDescent="0.25">
      <c r="C22" s="9" t="s">
        <v>44</v>
      </c>
      <c r="D22" s="57"/>
      <c r="E22" s="58"/>
      <c r="F22" s="18">
        <f>N44+N50</f>
        <v>16.808246099999998</v>
      </c>
      <c r="G22" s="7"/>
      <c r="H22" s="11"/>
      <c r="I22" s="7"/>
      <c r="J22" s="11"/>
      <c r="K22" s="7"/>
      <c r="L22" s="11"/>
      <c r="M22" s="7"/>
      <c r="N22" s="11"/>
      <c r="O22" s="7"/>
      <c r="P22" s="57"/>
      <c r="Q22" s="58"/>
      <c r="R22" s="57"/>
      <c r="S22" s="58"/>
      <c r="T22" s="57"/>
      <c r="U22" s="58"/>
      <c r="V22" s="11"/>
    </row>
    <row r="24" spans="2:22" x14ac:dyDescent="0.25">
      <c r="C24" s="5" t="s">
        <v>11</v>
      </c>
    </row>
    <row r="25" spans="2:22" x14ac:dyDescent="0.25">
      <c r="C25" s="1" t="s">
        <v>12</v>
      </c>
      <c r="J25" s="34">
        <f>V19/V15*100</f>
        <v>-22.933884278756249</v>
      </c>
      <c r="K25" s="35" t="s">
        <v>37</v>
      </c>
    </row>
    <row r="28" spans="2:22" ht="33" customHeight="1" x14ac:dyDescent="0.25">
      <c r="B28" s="27" t="s">
        <v>13</v>
      </c>
      <c r="C28" s="72" t="s">
        <v>14</v>
      </c>
      <c r="D28" s="72"/>
      <c r="E28" s="72"/>
      <c r="F28" s="72"/>
      <c r="G28" s="72"/>
      <c r="H28" s="72"/>
      <c r="I28" s="72"/>
      <c r="J28" s="72"/>
      <c r="K28" s="72"/>
      <c r="L28" s="73" t="s">
        <v>45</v>
      </c>
      <c r="M28" s="73"/>
      <c r="N28" s="73" t="s">
        <v>46</v>
      </c>
      <c r="O28" s="73"/>
      <c r="P28" s="27" t="s">
        <v>28</v>
      </c>
    </row>
    <row r="29" spans="2:22" x14ac:dyDescent="0.25">
      <c r="B29" s="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4"/>
    </row>
    <row r="30" spans="2:22" x14ac:dyDescent="0.25">
      <c r="B30" s="90" t="s">
        <v>7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</row>
    <row r="31" spans="2:22" x14ac:dyDescent="0.25">
      <c r="B31" s="4">
        <v>1</v>
      </c>
      <c r="C31" s="76" t="s">
        <v>15</v>
      </c>
      <c r="D31" s="76"/>
      <c r="E31" s="76"/>
      <c r="F31" s="76"/>
      <c r="G31" s="76"/>
      <c r="H31" s="76"/>
      <c r="I31" s="76"/>
      <c r="J31" s="76"/>
      <c r="K31" s="76"/>
      <c r="L31" s="74">
        <v>916.5</v>
      </c>
      <c r="M31" s="74"/>
      <c r="N31" s="77">
        <f>'1'!N31:O31</f>
        <v>3.5</v>
      </c>
      <c r="O31" s="77"/>
      <c r="P31" s="17">
        <f>L31*N31*12</f>
        <v>38493</v>
      </c>
    </row>
    <row r="32" spans="2:22" x14ac:dyDescent="0.25">
      <c r="B32" s="4">
        <v>2</v>
      </c>
      <c r="C32" s="76" t="s">
        <v>34</v>
      </c>
      <c r="D32" s="76"/>
      <c r="E32" s="76"/>
      <c r="F32" s="76"/>
      <c r="G32" s="76"/>
      <c r="H32" s="76"/>
      <c r="I32" s="76"/>
      <c r="J32" s="76"/>
      <c r="K32" s="76"/>
      <c r="L32" s="74">
        <v>916.5</v>
      </c>
      <c r="M32" s="74"/>
      <c r="N32" s="77">
        <f>'1'!N32:O32</f>
        <v>0.98752150000000005</v>
      </c>
      <c r="O32" s="77"/>
      <c r="P32" s="17">
        <f t="shared" ref="P32:P43" si="1">L32*N32*12</f>
        <v>10860.761457000001</v>
      </c>
    </row>
    <row r="33" spans="2:16" x14ac:dyDescent="0.25">
      <c r="B33" s="4">
        <v>3</v>
      </c>
      <c r="C33" s="76" t="s">
        <v>16</v>
      </c>
      <c r="D33" s="76"/>
      <c r="E33" s="76"/>
      <c r="F33" s="76"/>
      <c r="G33" s="76"/>
      <c r="H33" s="76"/>
      <c r="I33" s="76"/>
      <c r="J33" s="76"/>
      <c r="K33" s="76"/>
      <c r="L33" s="74">
        <v>916.5</v>
      </c>
      <c r="M33" s="74"/>
      <c r="N33" s="77">
        <f>'1'!N33:O33</f>
        <v>2.8257476000000001</v>
      </c>
      <c r="O33" s="77"/>
      <c r="P33" s="17">
        <f t="shared" si="1"/>
        <v>31077.572104800001</v>
      </c>
    </row>
    <row r="34" spans="2:16" x14ac:dyDescent="0.25">
      <c r="B34" s="4">
        <v>4</v>
      </c>
      <c r="C34" s="76" t="s">
        <v>17</v>
      </c>
      <c r="D34" s="76"/>
      <c r="E34" s="76"/>
      <c r="F34" s="76"/>
      <c r="G34" s="76"/>
      <c r="H34" s="76"/>
      <c r="I34" s="76"/>
      <c r="J34" s="76"/>
      <c r="K34" s="76"/>
      <c r="L34" s="74">
        <v>916.5</v>
      </c>
      <c r="M34" s="74"/>
      <c r="N34" s="77">
        <f>'1'!N34:O34</f>
        <v>1</v>
      </c>
      <c r="O34" s="77"/>
      <c r="P34" s="17">
        <f t="shared" si="1"/>
        <v>10998</v>
      </c>
    </row>
    <row r="35" spans="2:16" x14ac:dyDescent="0.25">
      <c r="B35" s="4">
        <v>5</v>
      </c>
      <c r="C35" s="76" t="s">
        <v>18</v>
      </c>
      <c r="D35" s="76"/>
      <c r="E35" s="76"/>
      <c r="F35" s="76"/>
      <c r="G35" s="76"/>
      <c r="H35" s="76"/>
      <c r="I35" s="76"/>
      <c r="J35" s="76"/>
      <c r="K35" s="76"/>
      <c r="L35" s="74">
        <v>916.5</v>
      </c>
      <c r="M35" s="74"/>
      <c r="N35" s="77">
        <f>'1'!N35:O35</f>
        <v>2</v>
      </c>
      <c r="O35" s="77"/>
      <c r="P35" s="17">
        <f t="shared" si="1"/>
        <v>21996</v>
      </c>
    </row>
    <row r="36" spans="2:16" x14ac:dyDescent="0.25">
      <c r="B36" s="4">
        <v>6</v>
      </c>
      <c r="C36" s="76" t="s">
        <v>24</v>
      </c>
      <c r="D36" s="76"/>
      <c r="E36" s="76"/>
      <c r="F36" s="76"/>
      <c r="G36" s="76"/>
      <c r="H36" s="76"/>
      <c r="I36" s="76"/>
      <c r="J36" s="76"/>
      <c r="K36" s="76"/>
      <c r="L36" s="74">
        <v>916.5</v>
      </c>
      <c r="M36" s="74"/>
      <c r="N36" s="77">
        <f>'1'!N36:O36</f>
        <v>3</v>
      </c>
      <c r="O36" s="77"/>
      <c r="P36" s="17">
        <f t="shared" si="1"/>
        <v>32994</v>
      </c>
    </row>
    <row r="37" spans="2:16" x14ac:dyDescent="0.25">
      <c r="B37" s="4">
        <v>7</v>
      </c>
      <c r="C37" s="76" t="s">
        <v>19</v>
      </c>
      <c r="D37" s="76"/>
      <c r="E37" s="76"/>
      <c r="F37" s="76"/>
      <c r="G37" s="76"/>
      <c r="H37" s="76"/>
      <c r="I37" s="76"/>
      <c r="J37" s="76"/>
      <c r="K37" s="76"/>
      <c r="L37" s="74">
        <v>916.5</v>
      </c>
      <c r="M37" s="74"/>
      <c r="N37" s="77">
        <f>'1'!N37:O37</f>
        <v>0.5</v>
      </c>
      <c r="O37" s="77"/>
      <c r="P37" s="17">
        <f t="shared" si="1"/>
        <v>5499</v>
      </c>
    </row>
    <row r="38" spans="2:16" x14ac:dyDescent="0.25">
      <c r="B38" s="4">
        <v>8</v>
      </c>
      <c r="C38" s="76" t="s">
        <v>20</v>
      </c>
      <c r="D38" s="76"/>
      <c r="E38" s="76"/>
      <c r="F38" s="76"/>
      <c r="G38" s="76"/>
      <c r="H38" s="76"/>
      <c r="I38" s="76"/>
      <c r="J38" s="76"/>
      <c r="K38" s="76"/>
      <c r="L38" s="74">
        <v>916.5</v>
      </c>
      <c r="M38" s="74"/>
      <c r="N38" s="77">
        <f>'1'!N38:O38</f>
        <v>1.694977</v>
      </c>
      <c r="O38" s="77"/>
      <c r="P38" s="17">
        <f t="shared" si="1"/>
        <v>18641.357045999997</v>
      </c>
    </row>
    <row r="39" spans="2:16" x14ac:dyDescent="0.25">
      <c r="B39" s="4">
        <v>9</v>
      </c>
      <c r="C39" s="76" t="s">
        <v>84</v>
      </c>
      <c r="D39" s="76"/>
      <c r="E39" s="76"/>
      <c r="F39" s="76"/>
      <c r="G39" s="76"/>
      <c r="H39" s="76"/>
      <c r="I39" s="76"/>
      <c r="J39" s="76"/>
      <c r="K39" s="76"/>
      <c r="L39" s="74">
        <v>916.5</v>
      </c>
      <c r="M39" s="74"/>
      <c r="N39" s="77">
        <f>'1'!N39:O39</f>
        <v>0.1</v>
      </c>
      <c r="O39" s="77"/>
      <c r="P39" s="17">
        <f t="shared" si="1"/>
        <v>1099.8000000000002</v>
      </c>
    </row>
    <row r="40" spans="2:16" x14ac:dyDescent="0.25">
      <c r="B40" s="4">
        <v>10</v>
      </c>
      <c r="C40" s="76" t="s">
        <v>21</v>
      </c>
      <c r="D40" s="76"/>
      <c r="E40" s="76"/>
      <c r="F40" s="76"/>
      <c r="G40" s="76"/>
      <c r="H40" s="76"/>
      <c r="I40" s="76"/>
      <c r="J40" s="76"/>
      <c r="K40" s="76"/>
      <c r="L40" s="74">
        <v>916.5</v>
      </c>
      <c r="M40" s="74"/>
      <c r="N40" s="77">
        <f>'1'!N40:O40</f>
        <v>0.2</v>
      </c>
      <c r="O40" s="77"/>
      <c r="P40" s="17">
        <f t="shared" si="1"/>
        <v>2199.6000000000004</v>
      </c>
    </row>
    <row r="41" spans="2:16" x14ac:dyDescent="0.25">
      <c r="B41" s="4">
        <v>11</v>
      </c>
      <c r="C41" s="76" t="s">
        <v>22</v>
      </c>
      <c r="D41" s="76"/>
      <c r="E41" s="76"/>
      <c r="F41" s="76"/>
      <c r="G41" s="76"/>
      <c r="H41" s="76"/>
      <c r="I41" s="76"/>
      <c r="J41" s="76"/>
      <c r="K41" s="76"/>
      <c r="L41" s="74">
        <v>916.5</v>
      </c>
      <c r="M41" s="74"/>
      <c r="N41" s="77">
        <f>'1'!N41:O41</f>
        <v>0.5</v>
      </c>
      <c r="O41" s="77"/>
      <c r="P41" s="17">
        <f t="shared" si="1"/>
        <v>5499</v>
      </c>
    </row>
    <row r="42" spans="2:16" hidden="1" x14ac:dyDescent="0.25">
      <c r="B42" s="4">
        <v>12</v>
      </c>
      <c r="C42" s="76" t="s">
        <v>23</v>
      </c>
      <c r="D42" s="76"/>
      <c r="E42" s="76"/>
      <c r="F42" s="76"/>
      <c r="G42" s="76"/>
      <c r="H42" s="76"/>
      <c r="I42" s="76"/>
      <c r="J42" s="76"/>
      <c r="K42" s="76"/>
      <c r="L42" s="74">
        <v>916.5</v>
      </c>
      <c r="M42" s="74"/>
      <c r="N42" s="77">
        <f>'1'!N42:O42</f>
        <v>0</v>
      </c>
      <c r="O42" s="77"/>
      <c r="P42" s="17">
        <f t="shared" si="1"/>
        <v>0</v>
      </c>
    </row>
    <row r="43" spans="2:16" x14ac:dyDescent="0.25">
      <c r="B43" s="4">
        <v>12</v>
      </c>
      <c r="C43" s="76" t="s">
        <v>25</v>
      </c>
      <c r="D43" s="76"/>
      <c r="E43" s="76"/>
      <c r="F43" s="76"/>
      <c r="G43" s="76"/>
      <c r="H43" s="76"/>
      <c r="I43" s="76"/>
      <c r="J43" s="76"/>
      <c r="K43" s="76"/>
      <c r="L43" s="74">
        <v>916.5</v>
      </c>
      <c r="M43" s="74"/>
      <c r="N43" s="77">
        <f>'1'!N43:O43</f>
        <v>0.5</v>
      </c>
      <c r="O43" s="77"/>
      <c r="P43" s="17">
        <f t="shared" si="1"/>
        <v>5499</v>
      </c>
    </row>
    <row r="44" spans="2:16" x14ac:dyDescent="0.25">
      <c r="B44" s="38"/>
      <c r="C44" s="78" t="s">
        <v>26</v>
      </c>
      <c r="D44" s="78"/>
      <c r="E44" s="78"/>
      <c r="F44" s="78"/>
      <c r="G44" s="78"/>
      <c r="H44" s="78"/>
      <c r="I44" s="78"/>
      <c r="J44" s="78"/>
      <c r="K44" s="78"/>
      <c r="L44" s="79">
        <v>916.5</v>
      </c>
      <c r="M44" s="79"/>
      <c r="N44" s="91">
        <f>SUM(N31:O43)</f>
        <v>16.808246099999998</v>
      </c>
      <c r="O44" s="91"/>
      <c r="P44" s="39">
        <f>SUM(P31:P43)</f>
        <v>184857.0906078</v>
      </c>
    </row>
    <row r="45" spans="2:16" hidden="1" x14ac:dyDescent="0.25">
      <c r="B45" s="90" t="s">
        <v>27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</row>
    <row r="46" spans="2:16" hidden="1" x14ac:dyDescent="0.25">
      <c r="B46" s="4">
        <v>1</v>
      </c>
      <c r="C46" s="82" t="s">
        <v>73</v>
      </c>
      <c r="D46" s="83"/>
      <c r="E46" s="83"/>
      <c r="F46" s="83"/>
      <c r="G46" s="83"/>
      <c r="H46" s="83"/>
      <c r="I46" s="83"/>
      <c r="J46" s="83"/>
      <c r="K46" s="84"/>
      <c r="L46" s="74">
        <v>916.5</v>
      </c>
      <c r="M46" s="74"/>
      <c r="N46" s="74"/>
      <c r="O46" s="74"/>
      <c r="P46" s="17">
        <f>L46*N46*6</f>
        <v>0</v>
      </c>
    </row>
    <row r="47" spans="2:16" hidden="1" x14ac:dyDescent="0.25">
      <c r="B47" s="4">
        <v>2</v>
      </c>
      <c r="C47" s="82" t="s">
        <v>74</v>
      </c>
      <c r="D47" s="83"/>
      <c r="E47" s="83"/>
      <c r="F47" s="83"/>
      <c r="G47" s="83"/>
      <c r="H47" s="83"/>
      <c r="I47" s="83"/>
      <c r="J47" s="83"/>
      <c r="K47" s="84"/>
      <c r="L47" s="74">
        <v>916.5</v>
      </c>
      <c r="M47" s="74"/>
      <c r="N47" s="74"/>
      <c r="O47" s="74"/>
      <c r="P47" s="17">
        <f>L47*N47*6</f>
        <v>0</v>
      </c>
    </row>
    <row r="48" spans="2:16" hidden="1" x14ac:dyDescent="0.25">
      <c r="B48" s="4">
        <v>3</v>
      </c>
      <c r="C48" s="74"/>
      <c r="D48" s="74"/>
      <c r="E48" s="74"/>
      <c r="F48" s="74"/>
      <c r="G48" s="74"/>
      <c r="H48" s="74"/>
      <c r="I48" s="74"/>
      <c r="J48" s="74"/>
      <c r="K48" s="74"/>
      <c r="L48" s="74">
        <v>916.5</v>
      </c>
      <c r="M48" s="74"/>
      <c r="N48" s="74"/>
      <c r="O48" s="74"/>
      <c r="P48" s="17"/>
    </row>
    <row r="49" spans="2:16" hidden="1" x14ac:dyDescent="0.25">
      <c r="B49" s="4">
        <v>4</v>
      </c>
      <c r="C49" s="74"/>
      <c r="D49" s="74"/>
      <c r="E49" s="74"/>
      <c r="F49" s="74"/>
      <c r="G49" s="74"/>
      <c r="H49" s="74"/>
      <c r="I49" s="74"/>
      <c r="J49" s="74"/>
      <c r="K49" s="74"/>
      <c r="L49" s="74">
        <v>916.5</v>
      </c>
      <c r="M49" s="74"/>
      <c r="N49" s="74"/>
      <c r="O49" s="74"/>
      <c r="P49" s="17"/>
    </row>
    <row r="50" spans="2:16" hidden="1" x14ac:dyDescent="0.25">
      <c r="B50" s="38"/>
      <c r="C50" s="86" t="s">
        <v>29</v>
      </c>
      <c r="D50" s="87"/>
      <c r="E50" s="87"/>
      <c r="F50" s="87"/>
      <c r="G50" s="87"/>
      <c r="H50" s="87"/>
      <c r="I50" s="87"/>
      <c r="J50" s="87"/>
      <c r="K50" s="88"/>
      <c r="L50" s="79">
        <v>916.5</v>
      </c>
      <c r="M50" s="79"/>
      <c r="N50" s="79">
        <f>SUM(N46:O49)</f>
        <v>0</v>
      </c>
      <c r="O50" s="79"/>
      <c r="P50" s="39">
        <f>SUM(P46:P49)</f>
        <v>0</v>
      </c>
    </row>
    <row r="51" spans="2:16" hidden="1" x14ac:dyDescent="0.25">
      <c r="B51" s="90" t="s">
        <v>30</v>
      </c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</row>
    <row r="52" spans="2:16" hidden="1" x14ac:dyDescent="0.25">
      <c r="B52" s="38"/>
      <c r="C52" s="86" t="s">
        <v>31</v>
      </c>
      <c r="D52" s="87"/>
      <c r="E52" s="87"/>
      <c r="F52" s="87"/>
      <c r="G52" s="87"/>
      <c r="H52" s="87"/>
      <c r="I52" s="87"/>
      <c r="J52" s="87"/>
      <c r="K52" s="88"/>
      <c r="L52" s="79">
        <v>916.5</v>
      </c>
      <c r="M52" s="79"/>
      <c r="N52" s="79">
        <v>0</v>
      </c>
      <c r="O52" s="79"/>
      <c r="P52" s="38"/>
    </row>
    <row r="55" spans="2:16" x14ac:dyDescent="0.25">
      <c r="C55" s="1" t="s">
        <v>38</v>
      </c>
    </row>
    <row r="56" spans="2:16" x14ac:dyDescent="0.25">
      <c r="C56" s="1" t="s">
        <v>39</v>
      </c>
    </row>
    <row r="57" spans="2:16" x14ac:dyDescent="0.25">
      <c r="C57" s="4" t="s">
        <v>93</v>
      </c>
      <c r="D57" s="22">
        <f>N44</f>
        <v>16.808246099999998</v>
      </c>
    </row>
    <row r="60" spans="2:16" x14ac:dyDescent="0.25">
      <c r="C60" s="1" t="s">
        <v>40</v>
      </c>
      <c r="D60" s="2"/>
      <c r="E60" s="2"/>
      <c r="F60" s="2"/>
      <c r="G60" s="2"/>
      <c r="J60" s="1" t="s">
        <v>41</v>
      </c>
    </row>
    <row r="63" spans="2:16" ht="24.75" customHeight="1" x14ac:dyDescent="0.25">
      <c r="C63" s="1" t="s">
        <v>42</v>
      </c>
      <c r="D63" s="2"/>
      <c r="E63" s="2"/>
      <c r="F63" s="1" t="s">
        <v>43</v>
      </c>
    </row>
    <row r="64" spans="2:16" ht="25.5" customHeight="1" x14ac:dyDescent="0.25">
      <c r="D64" s="2"/>
      <c r="E64" s="2"/>
      <c r="F64" s="1" t="s">
        <v>43</v>
      </c>
    </row>
    <row r="65" spans="4:6" ht="24.75" customHeight="1" x14ac:dyDescent="0.25">
      <c r="D65" s="2"/>
      <c r="E65" s="2"/>
      <c r="F65" s="1" t="s">
        <v>43</v>
      </c>
    </row>
  </sheetData>
  <mergeCells count="115">
    <mergeCell ref="B51:P51"/>
    <mergeCell ref="C52:K52"/>
    <mergeCell ref="L52:M52"/>
    <mergeCell ref="N52:O52"/>
    <mergeCell ref="C49:K49"/>
    <mergeCell ref="L49:M49"/>
    <mergeCell ref="N49:O49"/>
    <mergeCell ref="C50:K50"/>
    <mergeCell ref="L50:M50"/>
    <mergeCell ref="N50:O50"/>
    <mergeCell ref="B45:P45"/>
    <mergeCell ref="C46:K46"/>
    <mergeCell ref="L46:M46"/>
    <mergeCell ref="N46:O46"/>
    <mergeCell ref="C47:K47"/>
    <mergeCell ref="L47:M47"/>
    <mergeCell ref="N47:O47"/>
    <mergeCell ref="C48:K48"/>
    <mergeCell ref="L48:M48"/>
    <mergeCell ref="N48:O48"/>
    <mergeCell ref="C42:K42"/>
    <mergeCell ref="L42:M42"/>
    <mergeCell ref="N42:O42"/>
    <mergeCell ref="C43:K43"/>
    <mergeCell ref="L43:M43"/>
    <mergeCell ref="N43:O43"/>
    <mergeCell ref="C44:K44"/>
    <mergeCell ref="L44:M44"/>
    <mergeCell ref="N44:O44"/>
    <mergeCell ref="C39:K39"/>
    <mergeCell ref="L39:M39"/>
    <mergeCell ref="N39:O39"/>
    <mergeCell ref="C40:K40"/>
    <mergeCell ref="L40:M40"/>
    <mergeCell ref="N40:O40"/>
    <mergeCell ref="C41:K41"/>
    <mergeCell ref="L41:M41"/>
    <mergeCell ref="N41:O41"/>
    <mergeCell ref="C36:K36"/>
    <mergeCell ref="L36:M36"/>
    <mergeCell ref="N36:O36"/>
    <mergeCell ref="C37:K37"/>
    <mergeCell ref="L37:M37"/>
    <mergeCell ref="N37:O37"/>
    <mergeCell ref="C38:K38"/>
    <mergeCell ref="L38:M38"/>
    <mergeCell ref="N38:O38"/>
    <mergeCell ref="C33:K33"/>
    <mergeCell ref="L33:M33"/>
    <mergeCell ref="N33:O33"/>
    <mergeCell ref="C34:K34"/>
    <mergeCell ref="L34:M34"/>
    <mergeCell ref="N34:O34"/>
    <mergeCell ref="C35:K35"/>
    <mergeCell ref="L35:M35"/>
    <mergeCell ref="N35:O35"/>
    <mergeCell ref="C29:K29"/>
    <mergeCell ref="L29:M29"/>
    <mergeCell ref="N29:O29"/>
    <mergeCell ref="B30:P30"/>
    <mergeCell ref="C31:K31"/>
    <mergeCell ref="L31:M31"/>
    <mergeCell ref="N31:O31"/>
    <mergeCell ref="C32:K32"/>
    <mergeCell ref="L32:M32"/>
    <mergeCell ref="N32:O32"/>
    <mergeCell ref="C28:K28"/>
    <mergeCell ref="L28:M28"/>
    <mergeCell ref="N28:O28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2:E22"/>
    <mergeCell ref="B2:V2"/>
    <mergeCell ref="B3:V3"/>
    <mergeCell ref="B4:V4"/>
    <mergeCell ref="P12:Q12"/>
    <mergeCell ref="P13:Q13"/>
    <mergeCell ref="P14:Q14"/>
    <mergeCell ref="P15:Q15"/>
    <mergeCell ref="P16:Q16"/>
    <mergeCell ref="T12:U12"/>
    <mergeCell ref="T13:U13"/>
    <mergeCell ref="T14:U14"/>
    <mergeCell ref="T15:U15"/>
    <mergeCell ref="T16:U16"/>
    <mergeCell ref="T18:U18"/>
    <mergeCell ref="T19:U19"/>
    <mergeCell ref="T20:U20"/>
    <mergeCell ref="T22:U22"/>
    <mergeCell ref="P18:Q18"/>
    <mergeCell ref="P19:Q19"/>
    <mergeCell ref="P20:Q20"/>
    <mergeCell ref="P22:Q22"/>
    <mergeCell ref="R12:S12"/>
    <mergeCell ref="R13:S13"/>
    <mergeCell ref="R14:S14"/>
    <mergeCell ref="R15:S15"/>
    <mergeCell ref="R16:S16"/>
    <mergeCell ref="R18:S18"/>
    <mergeCell ref="R19:S19"/>
    <mergeCell ref="R20:S20"/>
    <mergeCell ref="R22:S22"/>
    <mergeCell ref="P17:Q17"/>
    <mergeCell ref="R17:S17"/>
    <mergeCell ref="T17:U17"/>
    <mergeCell ref="P21:Q21"/>
    <mergeCell ref="R21:S21"/>
    <mergeCell ref="T21:U21"/>
  </mergeCells>
  <pageMargins left="0.25" right="0.25" top="0.75" bottom="0.75" header="0.3" footer="0.3"/>
  <pageSetup paperSize="9" scale="4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B1:V66"/>
  <sheetViews>
    <sheetView view="pageBreakPreview" topLeftCell="A4" zoomScale="84" zoomScaleNormal="84" zoomScaleSheetLayoutView="84" workbookViewId="0">
      <selection activeCell="L17" sqref="L17"/>
    </sheetView>
  </sheetViews>
  <sheetFormatPr defaultRowHeight="15.75" x14ac:dyDescent="0.25"/>
  <cols>
    <col min="1" max="1" width="2.85546875" style="1" customWidth="1"/>
    <col min="2" max="2" width="4" style="1" bestFit="1" customWidth="1"/>
    <col min="3" max="3" width="37.28515625" style="1" customWidth="1"/>
    <col min="4" max="4" width="13.28515625" style="1" customWidth="1"/>
    <col min="5" max="5" width="11.7109375" style="1" customWidth="1"/>
    <col min="6" max="6" width="11" style="1" customWidth="1"/>
    <col min="7" max="7" width="1.5703125" style="1" hidden="1" customWidth="1"/>
    <col min="8" max="8" width="12.5703125" style="1" hidden="1" customWidth="1"/>
    <col min="9" max="9" width="1.5703125" style="1" customWidth="1"/>
    <col min="10" max="10" width="11.140625" style="1" customWidth="1"/>
    <col min="11" max="11" width="2.28515625" style="1" customWidth="1"/>
    <col min="12" max="12" width="11.28515625" style="1" bestFit="1" customWidth="1"/>
    <col min="13" max="13" width="1.5703125" style="1" customWidth="1"/>
    <col min="14" max="14" width="15.7109375" style="1" customWidth="1"/>
    <col min="15" max="15" width="1.7109375" style="1" customWidth="1"/>
    <col min="16" max="16" width="12" style="1" customWidth="1"/>
    <col min="17" max="17" width="10.28515625" style="1" customWidth="1"/>
    <col min="18" max="18" width="10.85546875" style="1" customWidth="1"/>
    <col min="19" max="19" width="10.28515625" style="1" customWidth="1"/>
    <col min="20" max="20" width="14.42578125" style="1" customWidth="1"/>
    <col min="21" max="21" width="10.85546875" style="1" customWidth="1"/>
    <col min="22" max="22" width="11" style="1" customWidth="1"/>
    <col min="23" max="16384" width="9.140625" style="1"/>
  </cols>
  <sheetData>
    <row r="1" spans="2:22" ht="16.5" thickBot="1" x14ac:dyDescent="0.3"/>
    <row r="2" spans="2:22" x14ac:dyDescent="0.25">
      <c r="B2" s="63" t="s">
        <v>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5"/>
    </row>
    <row r="3" spans="2:22" x14ac:dyDescent="0.25">
      <c r="B3" s="66" t="str">
        <f>'1'!B3:V3</f>
        <v>с 1.01.2016 по 31.12.2016 г.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/>
    </row>
    <row r="4" spans="2:22" ht="16.5" thickBot="1" x14ac:dyDescent="0.3">
      <c r="B4" s="69" t="s">
        <v>32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1"/>
    </row>
    <row r="5" spans="2:22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2:22" x14ac:dyDescent="0.25">
      <c r="C6" s="29" t="s">
        <v>61</v>
      </c>
    </row>
    <row r="8" spans="2:22" x14ac:dyDescent="0.25">
      <c r="C8" s="1" t="s">
        <v>33</v>
      </c>
      <c r="D8" s="2">
        <v>917.4</v>
      </c>
    </row>
    <row r="9" spans="2:22" x14ac:dyDescent="0.25">
      <c r="C9" s="1" t="s">
        <v>35</v>
      </c>
      <c r="D9" s="3">
        <v>40</v>
      </c>
    </row>
    <row r="10" spans="2:22" x14ac:dyDescent="0.25">
      <c r="C10" s="1" t="s">
        <v>36</v>
      </c>
      <c r="D10" s="3">
        <v>20</v>
      </c>
    </row>
    <row r="12" spans="2:22" ht="63" x14ac:dyDescent="0.25">
      <c r="C12" s="27" t="s">
        <v>1</v>
      </c>
      <c r="D12" s="59" t="str">
        <f>'1'!D12:E12</f>
        <v>Содержание общего имущества дома</v>
      </c>
      <c r="E12" s="60"/>
      <c r="F12" s="27" t="s">
        <v>8</v>
      </c>
      <c r="G12" s="7"/>
      <c r="H12" s="27" t="s">
        <v>9</v>
      </c>
      <c r="I12" s="7"/>
      <c r="J12" s="28" t="str">
        <f>'1'!J12</f>
        <v>Вывоз ТБО (руб./чел.)</v>
      </c>
      <c r="K12" s="7"/>
      <c r="L12" s="28" t="s">
        <v>67</v>
      </c>
      <c r="M12" s="7"/>
      <c r="N12" s="28" t="str">
        <f>'1'!N12</f>
        <v>Обслуживание антены (руб./лиц.сч.)</v>
      </c>
      <c r="O12" s="8"/>
      <c r="P12" s="59" t="str">
        <f>'1'!P12</f>
        <v xml:space="preserve">Хол. вода </v>
      </c>
      <c r="Q12" s="60"/>
      <c r="R12" s="59" t="str">
        <f>'1'!R12</f>
        <v xml:space="preserve">Гор. вода </v>
      </c>
      <c r="S12" s="60"/>
      <c r="T12" s="59" t="str">
        <f>'1'!T12</f>
        <v>Канализация</v>
      </c>
      <c r="U12" s="60"/>
      <c r="V12" s="27" t="s">
        <v>10</v>
      </c>
    </row>
    <row r="13" spans="2:22" x14ac:dyDescent="0.25">
      <c r="C13" s="9" t="s">
        <v>2</v>
      </c>
      <c r="D13" s="57"/>
      <c r="E13" s="58"/>
      <c r="F13" s="11"/>
      <c r="G13" s="7"/>
      <c r="H13" s="11"/>
      <c r="I13" s="7"/>
      <c r="J13" s="11"/>
      <c r="K13" s="7"/>
      <c r="L13" s="11"/>
      <c r="M13" s="7"/>
      <c r="N13" s="11"/>
      <c r="O13" s="7"/>
      <c r="P13" s="57"/>
      <c r="Q13" s="58"/>
      <c r="R13" s="57"/>
      <c r="S13" s="58"/>
      <c r="T13" s="57"/>
      <c r="U13" s="58"/>
      <c r="V13" s="30">
        <f>V14</f>
        <v>-142169.88</v>
      </c>
    </row>
    <row r="14" spans="2:22" ht="47.25" x14ac:dyDescent="0.25">
      <c r="C14" s="10" t="str">
        <f>'1'!C14</f>
        <v>Остаток с предыдущего периода (задолженность(-), переплата (+)) на 01.01.2016г.</v>
      </c>
      <c r="D14" s="57"/>
      <c r="E14" s="58"/>
      <c r="F14" s="11">
        <v>-29989.09</v>
      </c>
      <c r="G14" s="7"/>
      <c r="H14" s="11">
        <v>0</v>
      </c>
      <c r="I14" s="7"/>
      <c r="J14" s="11">
        <v>-3882.55</v>
      </c>
      <c r="K14" s="7"/>
      <c r="L14" s="11">
        <v>-77742.91</v>
      </c>
      <c r="M14" s="7"/>
      <c r="N14" s="11">
        <v>-1788.54</v>
      </c>
      <c r="O14" s="7"/>
      <c r="P14" s="57">
        <v>-3544.77</v>
      </c>
      <c r="Q14" s="58"/>
      <c r="R14" s="61">
        <v>-17492.14</v>
      </c>
      <c r="S14" s="62"/>
      <c r="T14" s="61">
        <v>-7729.88</v>
      </c>
      <c r="U14" s="62"/>
      <c r="V14" s="14">
        <f>F14+H14+J14+L14+N14+P14+Q14+R14+S14+T14+U14</f>
        <v>-142169.88</v>
      </c>
    </row>
    <row r="15" spans="2:22" x14ac:dyDescent="0.25">
      <c r="C15" s="9" t="s">
        <v>3</v>
      </c>
      <c r="D15" s="57"/>
      <c r="E15" s="58"/>
      <c r="F15" s="11">
        <v>169518.84</v>
      </c>
      <c r="G15" s="7"/>
      <c r="H15" s="14"/>
      <c r="I15" s="7"/>
      <c r="J15" s="14">
        <v>18926.169999999998</v>
      </c>
      <c r="K15" s="7"/>
      <c r="L15" s="11">
        <v>443846.40000000002</v>
      </c>
      <c r="M15" s="7"/>
      <c r="N15" s="11">
        <v>9000</v>
      </c>
      <c r="O15" s="7"/>
      <c r="P15" s="61">
        <f>13485.69+897.51</f>
        <v>14383.2</v>
      </c>
      <c r="Q15" s="62"/>
      <c r="R15" s="61">
        <f>80553.06+3898.76</f>
        <v>84451.819999999992</v>
      </c>
      <c r="S15" s="62"/>
      <c r="T15" s="61">
        <f>16750.07+15168.19</f>
        <v>31918.260000000002</v>
      </c>
      <c r="U15" s="62"/>
      <c r="V15" s="11">
        <f>F15+H15+J15+L15+N15+P15+Q15+R15+S15+T15+U15</f>
        <v>772044.69</v>
      </c>
    </row>
    <row r="16" spans="2:22" x14ac:dyDescent="0.25">
      <c r="C16" s="9" t="s">
        <v>4</v>
      </c>
      <c r="D16" s="57"/>
      <c r="E16" s="58"/>
      <c r="F16" s="11">
        <v>171093.67</v>
      </c>
      <c r="G16" s="7"/>
      <c r="H16" s="14"/>
      <c r="I16" s="7"/>
      <c r="J16" s="14">
        <v>19267.63</v>
      </c>
      <c r="K16" s="7"/>
      <c r="L16" s="11">
        <v>446991.64</v>
      </c>
      <c r="M16" s="7"/>
      <c r="N16" s="14">
        <v>8984.85</v>
      </c>
      <c r="O16" s="7"/>
      <c r="P16" s="61">
        <f>13259.73+241.84</f>
        <v>13501.57</v>
      </c>
      <c r="Q16" s="62"/>
      <c r="R16" s="61">
        <f>80390.1+982.56</f>
        <v>81372.66</v>
      </c>
      <c r="S16" s="62"/>
      <c r="T16" s="61">
        <f>16499.8+15228.24</f>
        <v>31728.04</v>
      </c>
      <c r="U16" s="62"/>
      <c r="V16" s="12">
        <f t="shared" ref="V16:V17" si="0">F16+H16+J16+L16+N16+P16+Q16+R16+S16+T16+U16</f>
        <v>772940.06</v>
      </c>
    </row>
    <row r="17" spans="2:22" ht="31.5" x14ac:dyDescent="0.25">
      <c r="C17" s="10" t="s">
        <v>5</v>
      </c>
      <c r="D17" s="57"/>
      <c r="E17" s="58"/>
      <c r="F17" s="14">
        <f>P44+P50</f>
        <v>192316.94966567997</v>
      </c>
      <c r="G17" s="7"/>
      <c r="H17" s="14">
        <f>P53</f>
        <v>0</v>
      </c>
      <c r="I17" s="7"/>
      <c r="J17" s="14">
        <f>J15+18637.28</f>
        <v>37563.449999999997</v>
      </c>
      <c r="K17" s="7"/>
      <c r="L17" s="11">
        <f>(D8*L20*6)+(D8*L21*6)</f>
        <v>441287.74800000002</v>
      </c>
      <c r="M17" s="7"/>
      <c r="N17" s="18">
        <f>'1'!N17</f>
        <v>11336.326999999999</v>
      </c>
      <c r="O17" s="7"/>
      <c r="P17" s="61">
        <f>P15+Q15+114670.71</f>
        <v>129053.91</v>
      </c>
      <c r="Q17" s="62"/>
      <c r="R17" s="61">
        <f>R15+S15</f>
        <v>84451.819999999992</v>
      </c>
      <c r="S17" s="62"/>
      <c r="T17" s="61">
        <f>T15+U15</f>
        <v>31918.260000000002</v>
      </c>
      <c r="U17" s="62"/>
      <c r="V17" s="12">
        <f t="shared" si="0"/>
        <v>927928.46466567996</v>
      </c>
    </row>
    <row r="18" spans="2:22" ht="31.5" x14ac:dyDescent="0.25">
      <c r="C18" s="10" t="str">
        <f>'1'!C18</f>
        <v>Текущий остаток (задолженность (-), переплата (+)) на 31.12.2016 г.</v>
      </c>
      <c r="D18" s="57"/>
      <c r="E18" s="58"/>
      <c r="F18" s="31">
        <f>F16-F15+F14</f>
        <v>-28414.259999999984</v>
      </c>
      <c r="G18" s="40"/>
      <c r="H18" s="31">
        <f>H16-H15+H14</f>
        <v>0</v>
      </c>
      <c r="I18" s="40"/>
      <c r="J18" s="31">
        <f>J16-J15+J14</f>
        <v>-3541.0899999999974</v>
      </c>
      <c r="K18" s="40"/>
      <c r="L18" s="31">
        <f>L16-L15+L14</f>
        <v>-74597.670000000013</v>
      </c>
      <c r="M18" s="40"/>
      <c r="N18" s="31">
        <f>N16-N15+N14</f>
        <v>-1803.6899999999996</v>
      </c>
      <c r="O18" s="40"/>
      <c r="P18" s="55">
        <f t="shared" ref="P18:V18" si="1">P16-P15+P14</f>
        <v>-4426.4000000000015</v>
      </c>
      <c r="Q18" s="56"/>
      <c r="R18" s="55">
        <f t="shared" si="1"/>
        <v>-20571.299999999988</v>
      </c>
      <c r="S18" s="56"/>
      <c r="T18" s="55">
        <f t="shared" si="1"/>
        <v>-7920.1000000000013</v>
      </c>
      <c r="U18" s="56"/>
      <c r="V18" s="31">
        <f t="shared" si="1"/>
        <v>-141274.50999999989</v>
      </c>
    </row>
    <row r="19" spans="2:22" x14ac:dyDescent="0.25">
      <c r="C19" s="9" t="s">
        <v>6</v>
      </c>
      <c r="D19" s="57"/>
      <c r="E19" s="58"/>
      <c r="F19" s="11"/>
      <c r="G19" s="7"/>
      <c r="H19" s="11"/>
      <c r="I19" s="7"/>
      <c r="J19" s="11"/>
      <c r="K19" s="7"/>
      <c r="L19" s="11"/>
      <c r="M19" s="7"/>
      <c r="N19" s="11"/>
      <c r="O19" s="7"/>
      <c r="P19" s="57"/>
      <c r="Q19" s="58"/>
      <c r="R19" s="57"/>
      <c r="S19" s="58"/>
      <c r="T19" s="57"/>
      <c r="U19" s="58"/>
      <c r="V19" s="30">
        <f>F18+H18+J18+L18+N18+P18+Q18+R18+S18+T18+U18</f>
        <v>-141274.50999999998</v>
      </c>
    </row>
    <row r="20" spans="2:22" x14ac:dyDescent="0.25">
      <c r="C20" s="9" t="str">
        <f>'1'!C20</f>
        <v>Тариф (руб/м²), 1-е полугодие</v>
      </c>
      <c r="D20" s="57"/>
      <c r="E20" s="58"/>
      <c r="F20" s="13">
        <f>'1'!F20</f>
        <v>15.31</v>
      </c>
      <c r="G20" s="7"/>
      <c r="H20" s="11">
        <f>'1'!H20</f>
        <v>37.700000000000003</v>
      </c>
      <c r="I20" s="7"/>
      <c r="J20" s="13">
        <f>'1'!J20</f>
        <v>44.32</v>
      </c>
      <c r="K20" s="7"/>
      <c r="L20" s="11">
        <v>39.520000000000003</v>
      </c>
      <c r="M20" s="7"/>
      <c r="N20" s="11">
        <f>'1'!N20</f>
        <v>50</v>
      </c>
      <c r="O20" s="7"/>
      <c r="P20" s="57" t="str">
        <f>'1'!P20</f>
        <v xml:space="preserve">15,02 руб./м3 </v>
      </c>
      <c r="Q20" s="58"/>
      <c r="R20" s="57" t="str">
        <f>'1'!R20</f>
        <v>99,55 руб./м3</v>
      </c>
      <c r="S20" s="58"/>
      <c r="T20" s="57" t="str">
        <f>'1'!T20</f>
        <v>18,66 руб./м3</v>
      </c>
      <c r="U20" s="58"/>
      <c r="V20" s="11"/>
    </row>
    <row r="21" spans="2:22" x14ac:dyDescent="0.25">
      <c r="C21" s="9" t="str">
        <f>'1'!C21</f>
        <v>Тариф (руб/м²), 2-е полугодие</v>
      </c>
      <c r="D21" s="50"/>
      <c r="E21" s="51"/>
      <c r="F21" s="21">
        <f>'1'!F21</f>
        <v>15.31</v>
      </c>
      <c r="G21" s="7"/>
      <c r="H21" s="21"/>
      <c r="I21" s="7"/>
      <c r="J21" s="21">
        <f>'1'!J21</f>
        <v>44.32</v>
      </c>
      <c r="K21" s="7"/>
      <c r="L21" s="21">
        <f>'4'!L21</f>
        <v>40.65</v>
      </c>
      <c r="M21" s="7"/>
      <c r="N21" s="21">
        <f>'1'!N21</f>
        <v>50</v>
      </c>
      <c r="O21" s="7"/>
      <c r="P21" s="57" t="str">
        <f>'1'!P21:Q21</f>
        <v>15,63 руб./м³</v>
      </c>
      <c r="Q21" s="58"/>
      <c r="R21" s="57" t="str">
        <f>'1'!R21:S21</f>
        <v>102,59 руб./м³</v>
      </c>
      <c r="S21" s="58"/>
      <c r="T21" s="57" t="str">
        <f>'1'!T21:U21</f>
        <v>19,41 руб./м³</v>
      </c>
      <c r="U21" s="58"/>
      <c r="V21" s="21"/>
    </row>
    <row r="22" spans="2:22" x14ac:dyDescent="0.25">
      <c r="C22" s="9" t="s">
        <v>44</v>
      </c>
      <c r="D22" s="57"/>
      <c r="E22" s="58"/>
      <c r="F22" s="18">
        <f>+N44+N50</f>
        <v>17.469383553673424</v>
      </c>
      <c r="G22" s="7"/>
      <c r="H22" s="11"/>
      <c r="I22" s="7"/>
      <c r="J22" s="11"/>
      <c r="K22" s="7"/>
      <c r="L22" s="11"/>
      <c r="M22" s="7"/>
      <c r="N22" s="11"/>
      <c r="O22" s="7"/>
      <c r="P22" s="57"/>
      <c r="Q22" s="58"/>
      <c r="R22" s="57"/>
      <c r="S22" s="58"/>
      <c r="T22" s="57"/>
      <c r="U22" s="58"/>
      <c r="V22" s="11"/>
    </row>
    <row r="24" spans="2:22" x14ac:dyDescent="0.25">
      <c r="C24" s="5" t="s">
        <v>11</v>
      </c>
    </row>
    <row r="25" spans="2:22" x14ac:dyDescent="0.25">
      <c r="C25" s="1" t="s">
        <v>12</v>
      </c>
      <c r="J25" s="34">
        <f>V19/V15*100</f>
        <v>-18.29874770591324</v>
      </c>
      <c r="K25" s="35" t="s">
        <v>37</v>
      </c>
    </row>
    <row r="28" spans="2:22" ht="33" customHeight="1" x14ac:dyDescent="0.25">
      <c r="B28" s="27" t="s">
        <v>13</v>
      </c>
      <c r="C28" s="72" t="s">
        <v>14</v>
      </c>
      <c r="D28" s="72"/>
      <c r="E28" s="72"/>
      <c r="F28" s="72"/>
      <c r="G28" s="72"/>
      <c r="H28" s="72"/>
      <c r="I28" s="72"/>
      <c r="J28" s="72"/>
      <c r="K28" s="72"/>
      <c r="L28" s="73" t="s">
        <v>45</v>
      </c>
      <c r="M28" s="73"/>
      <c r="N28" s="73" t="s">
        <v>46</v>
      </c>
      <c r="O28" s="73"/>
      <c r="P28" s="27" t="s">
        <v>28</v>
      </c>
    </row>
    <row r="29" spans="2:22" x14ac:dyDescent="0.25">
      <c r="B29" s="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4"/>
    </row>
    <row r="30" spans="2:22" x14ac:dyDescent="0.25">
      <c r="B30" s="90" t="s">
        <v>7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</row>
    <row r="31" spans="2:22" x14ac:dyDescent="0.25">
      <c r="B31" s="4">
        <v>1</v>
      </c>
      <c r="C31" s="76" t="s">
        <v>15</v>
      </c>
      <c r="D31" s="76"/>
      <c r="E31" s="76"/>
      <c r="F31" s="76"/>
      <c r="G31" s="76"/>
      <c r="H31" s="76"/>
      <c r="I31" s="76"/>
      <c r="J31" s="76"/>
      <c r="K31" s="76"/>
      <c r="L31" s="74">
        <v>917.4</v>
      </c>
      <c r="M31" s="74"/>
      <c r="N31" s="77">
        <f>'1'!N31:O31</f>
        <v>3.5</v>
      </c>
      <c r="O31" s="77"/>
      <c r="P31" s="17">
        <f>L31*N31*12</f>
        <v>38530.800000000003</v>
      </c>
    </row>
    <row r="32" spans="2:22" x14ac:dyDescent="0.25">
      <c r="B32" s="4">
        <v>2</v>
      </c>
      <c r="C32" s="76" t="s">
        <v>34</v>
      </c>
      <c r="D32" s="76"/>
      <c r="E32" s="76"/>
      <c r="F32" s="76"/>
      <c r="G32" s="76"/>
      <c r="H32" s="76"/>
      <c r="I32" s="76"/>
      <c r="J32" s="76"/>
      <c r="K32" s="76"/>
      <c r="L32" s="74">
        <v>917.4</v>
      </c>
      <c r="M32" s="74"/>
      <c r="N32" s="77">
        <f>'1'!N32:O32</f>
        <v>0.98752150000000005</v>
      </c>
      <c r="O32" s="77"/>
      <c r="P32" s="17">
        <f t="shared" ref="P32:P43" si="2">L32*N32*12</f>
        <v>10871.426689200001</v>
      </c>
    </row>
    <row r="33" spans="2:16" x14ac:dyDescent="0.25">
      <c r="B33" s="4">
        <v>3</v>
      </c>
      <c r="C33" s="76" t="s">
        <v>16</v>
      </c>
      <c r="D33" s="76"/>
      <c r="E33" s="76"/>
      <c r="F33" s="76"/>
      <c r="G33" s="76"/>
      <c r="H33" s="76"/>
      <c r="I33" s="76"/>
      <c r="J33" s="76"/>
      <c r="K33" s="76"/>
      <c r="L33" s="74">
        <v>917.4</v>
      </c>
      <c r="M33" s="74"/>
      <c r="N33" s="77">
        <f>'1'!N33:O33</f>
        <v>2.8257476000000001</v>
      </c>
      <c r="O33" s="77"/>
      <c r="P33" s="17">
        <f t="shared" si="2"/>
        <v>31108.09017888</v>
      </c>
    </row>
    <row r="34" spans="2:16" x14ac:dyDescent="0.25">
      <c r="B34" s="4">
        <v>4</v>
      </c>
      <c r="C34" s="76" t="s">
        <v>17</v>
      </c>
      <c r="D34" s="76"/>
      <c r="E34" s="76"/>
      <c r="F34" s="76"/>
      <c r="G34" s="76"/>
      <c r="H34" s="76"/>
      <c r="I34" s="76"/>
      <c r="J34" s="76"/>
      <c r="K34" s="76"/>
      <c r="L34" s="74">
        <v>917.4</v>
      </c>
      <c r="M34" s="74"/>
      <c r="N34" s="77">
        <f>'1'!N34:O34</f>
        <v>1</v>
      </c>
      <c r="O34" s="77"/>
      <c r="P34" s="17">
        <f t="shared" si="2"/>
        <v>11008.8</v>
      </c>
    </row>
    <row r="35" spans="2:16" x14ac:dyDescent="0.25">
      <c r="B35" s="4">
        <v>5</v>
      </c>
      <c r="C35" s="76" t="s">
        <v>18</v>
      </c>
      <c r="D35" s="76"/>
      <c r="E35" s="76"/>
      <c r="F35" s="76"/>
      <c r="G35" s="76"/>
      <c r="H35" s="76"/>
      <c r="I35" s="76"/>
      <c r="J35" s="76"/>
      <c r="K35" s="76"/>
      <c r="L35" s="74">
        <v>917.4</v>
      </c>
      <c r="M35" s="74"/>
      <c r="N35" s="77">
        <f>'1'!N35:O35</f>
        <v>2</v>
      </c>
      <c r="O35" s="77"/>
      <c r="P35" s="17">
        <f t="shared" si="2"/>
        <v>22017.599999999999</v>
      </c>
    </row>
    <row r="36" spans="2:16" x14ac:dyDescent="0.25">
      <c r="B36" s="4">
        <v>6</v>
      </c>
      <c r="C36" s="76" t="s">
        <v>24</v>
      </c>
      <c r="D36" s="76"/>
      <c r="E36" s="76"/>
      <c r="F36" s="76"/>
      <c r="G36" s="76"/>
      <c r="H36" s="76"/>
      <c r="I36" s="76"/>
      <c r="J36" s="76"/>
      <c r="K36" s="76"/>
      <c r="L36" s="74">
        <v>917.4</v>
      </c>
      <c r="M36" s="74"/>
      <c r="N36" s="77">
        <f>'1'!N36:O36</f>
        <v>3</v>
      </c>
      <c r="O36" s="77"/>
      <c r="P36" s="17">
        <f t="shared" si="2"/>
        <v>33026.399999999994</v>
      </c>
    </row>
    <row r="37" spans="2:16" x14ac:dyDescent="0.25">
      <c r="B37" s="4">
        <v>7</v>
      </c>
      <c r="C37" s="76" t="s">
        <v>19</v>
      </c>
      <c r="D37" s="76"/>
      <c r="E37" s="76"/>
      <c r="F37" s="76"/>
      <c r="G37" s="76"/>
      <c r="H37" s="76"/>
      <c r="I37" s="76"/>
      <c r="J37" s="76"/>
      <c r="K37" s="76"/>
      <c r="L37" s="74">
        <v>917.4</v>
      </c>
      <c r="M37" s="74"/>
      <c r="N37" s="77">
        <f>'1'!N37:O37</f>
        <v>0.5</v>
      </c>
      <c r="O37" s="77"/>
      <c r="P37" s="17">
        <f t="shared" si="2"/>
        <v>5504.4</v>
      </c>
    </row>
    <row r="38" spans="2:16" x14ac:dyDescent="0.25">
      <c r="B38" s="4">
        <v>8</v>
      </c>
      <c r="C38" s="76" t="s">
        <v>20</v>
      </c>
      <c r="D38" s="76"/>
      <c r="E38" s="76"/>
      <c r="F38" s="76"/>
      <c r="G38" s="76"/>
      <c r="H38" s="76"/>
      <c r="I38" s="76"/>
      <c r="J38" s="76"/>
      <c r="K38" s="76"/>
      <c r="L38" s="74">
        <v>917.4</v>
      </c>
      <c r="M38" s="74"/>
      <c r="N38" s="77">
        <f>'1'!N38:O38</f>
        <v>1.694977</v>
      </c>
      <c r="O38" s="77"/>
      <c r="P38" s="17">
        <f t="shared" si="2"/>
        <v>18659.662797599998</v>
      </c>
    </row>
    <row r="39" spans="2:16" x14ac:dyDescent="0.25">
      <c r="B39" s="4">
        <v>9</v>
      </c>
      <c r="C39" s="76" t="s">
        <v>84</v>
      </c>
      <c r="D39" s="76"/>
      <c r="E39" s="76"/>
      <c r="F39" s="76"/>
      <c r="G39" s="76"/>
      <c r="H39" s="76"/>
      <c r="I39" s="76"/>
      <c r="J39" s="76"/>
      <c r="K39" s="76"/>
      <c r="L39" s="74">
        <v>917.4</v>
      </c>
      <c r="M39" s="74"/>
      <c r="N39" s="77">
        <f>'1'!N39:O39</f>
        <v>0.1</v>
      </c>
      <c r="O39" s="77"/>
      <c r="P39" s="17">
        <f t="shared" si="2"/>
        <v>1100.8800000000001</v>
      </c>
    </row>
    <row r="40" spans="2:16" x14ac:dyDescent="0.25">
      <c r="B40" s="4">
        <v>10</v>
      </c>
      <c r="C40" s="76" t="s">
        <v>21</v>
      </c>
      <c r="D40" s="76"/>
      <c r="E40" s="76"/>
      <c r="F40" s="76"/>
      <c r="G40" s="76"/>
      <c r="H40" s="76"/>
      <c r="I40" s="76"/>
      <c r="J40" s="76"/>
      <c r="K40" s="76"/>
      <c r="L40" s="74">
        <v>917.4</v>
      </c>
      <c r="M40" s="74"/>
      <c r="N40" s="77">
        <f>'1'!N40:O40</f>
        <v>0.2</v>
      </c>
      <c r="O40" s="77"/>
      <c r="P40" s="17">
        <f t="shared" si="2"/>
        <v>2201.7600000000002</v>
      </c>
    </row>
    <row r="41" spans="2:16" x14ac:dyDescent="0.25">
      <c r="B41" s="4">
        <v>11</v>
      </c>
      <c r="C41" s="76" t="s">
        <v>22</v>
      </c>
      <c r="D41" s="76"/>
      <c r="E41" s="76"/>
      <c r="F41" s="76"/>
      <c r="G41" s="76"/>
      <c r="H41" s="76"/>
      <c r="I41" s="76"/>
      <c r="J41" s="76"/>
      <c r="K41" s="76"/>
      <c r="L41" s="74">
        <v>917.4</v>
      </c>
      <c r="M41" s="74"/>
      <c r="N41" s="77">
        <f>'1'!N41:O41</f>
        <v>0.5</v>
      </c>
      <c r="O41" s="77"/>
      <c r="P41" s="17">
        <f t="shared" si="2"/>
        <v>5504.4</v>
      </c>
    </row>
    <row r="42" spans="2:16" hidden="1" x14ac:dyDescent="0.25">
      <c r="B42" s="4">
        <v>12</v>
      </c>
      <c r="C42" s="76" t="s">
        <v>23</v>
      </c>
      <c r="D42" s="76"/>
      <c r="E42" s="76"/>
      <c r="F42" s="76"/>
      <c r="G42" s="76"/>
      <c r="H42" s="76"/>
      <c r="I42" s="76"/>
      <c r="J42" s="76"/>
      <c r="K42" s="76"/>
      <c r="L42" s="74">
        <v>917.4</v>
      </c>
      <c r="M42" s="74"/>
      <c r="N42" s="77">
        <f>'1'!N42:O42</f>
        <v>0</v>
      </c>
      <c r="O42" s="77"/>
      <c r="P42" s="17">
        <f t="shared" si="2"/>
        <v>0</v>
      </c>
    </row>
    <row r="43" spans="2:16" x14ac:dyDescent="0.25">
      <c r="B43" s="4">
        <v>12</v>
      </c>
      <c r="C43" s="76" t="s">
        <v>25</v>
      </c>
      <c r="D43" s="76"/>
      <c r="E43" s="76"/>
      <c r="F43" s="76"/>
      <c r="G43" s="76"/>
      <c r="H43" s="76"/>
      <c r="I43" s="76"/>
      <c r="J43" s="76"/>
      <c r="K43" s="76"/>
      <c r="L43" s="74">
        <v>917.4</v>
      </c>
      <c r="M43" s="74"/>
      <c r="N43" s="77">
        <f>'1'!N43:O43</f>
        <v>0.5</v>
      </c>
      <c r="O43" s="77"/>
      <c r="P43" s="17">
        <f t="shared" si="2"/>
        <v>5504.4</v>
      </c>
    </row>
    <row r="44" spans="2:16" x14ac:dyDescent="0.25">
      <c r="B44" s="38"/>
      <c r="C44" s="78" t="s">
        <v>26</v>
      </c>
      <c r="D44" s="78"/>
      <c r="E44" s="78"/>
      <c r="F44" s="78"/>
      <c r="G44" s="78"/>
      <c r="H44" s="78"/>
      <c r="I44" s="78"/>
      <c r="J44" s="78"/>
      <c r="K44" s="78"/>
      <c r="L44" s="79">
        <v>917.4</v>
      </c>
      <c r="M44" s="79"/>
      <c r="N44" s="91">
        <f>SUM(N31:O43)</f>
        <v>16.808246099999998</v>
      </c>
      <c r="O44" s="91"/>
      <c r="P44" s="39">
        <f>SUM(P31:P43)</f>
        <v>185038.61966567999</v>
      </c>
    </row>
    <row r="45" spans="2:16" x14ac:dyDescent="0.25">
      <c r="B45" s="90" t="s">
        <v>27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</row>
    <row r="46" spans="2:16" x14ac:dyDescent="0.25">
      <c r="B46" s="4">
        <v>1</v>
      </c>
      <c r="C46" s="82" t="s">
        <v>116</v>
      </c>
      <c r="D46" s="83"/>
      <c r="E46" s="83"/>
      <c r="F46" s="83"/>
      <c r="G46" s="83"/>
      <c r="H46" s="83"/>
      <c r="I46" s="83"/>
      <c r="J46" s="83"/>
      <c r="K46" s="84"/>
      <c r="L46" s="74">
        <v>917.4</v>
      </c>
      <c r="M46" s="74"/>
      <c r="N46" s="77">
        <f>P46/L46/12</f>
        <v>0.66113745367342491</v>
      </c>
      <c r="O46" s="77"/>
      <c r="P46" s="17">
        <v>7278.33</v>
      </c>
    </row>
    <row r="47" spans="2:16" hidden="1" x14ac:dyDescent="0.25">
      <c r="B47" s="4">
        <v>2</v>
      </c>
      <c r="C47" s="82" t="s">
        <v>74</v>
      </c>
      <c r="D47" s="83"/>
      <c r="E47" s="83"/>
      <c r="F47" s="83"/>
      <c r="G47" s="83"/>
      <c r="H47" s="83"/>
      <c r="I47" s="83"/>
      <c r="J47" s="83"/>
      <c r="K47" s="84"/>
      <c r="L47" s="74">
        <v>917.4</v>
      </c>
      <c r="M47" s="74"/>
      <c r="N47" s="77"/>
      <c r="O47" s="77"/>
      <c r="P47" s="17">
        <f>L47*N47*6</f>
        <v>0</v>
      </c>
    </row>
    <row r="48" spans="2:16" hidden="1" x14ac:dyDescent="0.25">
      <c r="B48" s="4">
        <v>3</v>
      </c>
      <c r="C48" s="74"/>
      <c r="D48" s="74"/>
      <c r="E48" s="74"/>
      <c r="F48" s="74"/>
      <c r="G48" s="74"/>
      <c r="H48" s="74"/>
      <c r="I48" s="74"/>
      <c r="J48" s="74"/>
      <c r="K48" s="74"/>
      <c r="L48" s="74">
        <v>917.4</v>
      </c>
      <c r="M48" s="74"/>
      <c r="N48" s="77"/>
      <c r="O48" s="77"/>
      <c r="P48" s="4"/>
    </row>
    <row r="49" spans="2:16" hidden="1" x14ac:dyDescent="0.25">
      <c r="B49" s="4">
        <v>4</v>
      </c>
      <c r="C49" s="74"/>
      <c r="D49" s="74"/>
      <c r="E49" s="74"/>
      <c r="F49" s="74"/>
      <c r="G49" s="74"/>
      <c r="H49" s="74"/>
      <c r="I49" s="74"/>
      <c r="J49" s="74"/>
      <c r="K49" s="74"/>
      <c r="L49" s="74">
        <v>917.4</v>
      </c>
      <c r="M49" s="74"/>
      <c r="N49" s="77"/>
      <c r="O49" s="77"/>
      <c r="P49" s="4"/>
    </row>
    <row r="50" spans="2:16" x14ac:dyDescent="0.25">
      <c r="B50" s="38"/>
      <c r="C50" s="86" t="s">
        <v>29</v>
      </c>
      <c r="D50" s="87"/>
      <c r="E50" s="87"/>
      <c r="F50" s="87"/>
      <c r="G50" s="87"/>
      <c r="H50" s="87"/>
      <c r="I50" s="87"/>
      <c r="J50" s="87"/>
      <c r="K50" s="88"/>
      <c r="L50" s="79">
        <v>917.4</v>
      </c>
      <c r="M50" s="79"/>
      <c r="N50" s="91">
        <f>SUM(N46:O49)</f>
        <v>0.66113745367342491</v>
      </c>
      <c r="O50" s="91"/>
      <c r="P50" s="39">
        <f>SUM(P46:P49)</f>
        <v>7278.33</v>
      </c>
    </row>
    <row r="51" spans="2:16" hidden="1" x14ac:dyDescent="0.25">
      <c r="B51" s="90" t="s">
        <v>30</v>
      </c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</row>
    <row r="52" spans="2:16" hidden="1" x14ac:dyDescent="0.25">
      <c r="B52" s="15"/>
      <c r="C52" s="82" t="s">
        <v>70</v>
      </c>
      <c r="D52" s="83"/>
      <c r="E52" s="83"/>
      <c r="F52" s="83"/>
      <c r="G52" s="83"/>
      <c r="H52" s="83"/>
      <c r="I52" s="83"/>
      <c r="J52" s="83"/>
      <c r="K52" s="84"/>
      <c r="L52" s="96">
        <v>917.4</v>
      </c>
      <c r="M52" s="93"/>
      <c r="N52" s="96">
        <v>0</v>
      </c>
      <c r="O52" s="93"/>
      <c r="P52" s="15"/>
    </row>
    <row r="53" spans="2:16" hidden="1" x14ac:dyDescent="0.25">
      <c r="B53" s="38"/>
      <c r="C53" s="86" t="s">
        <v>31</v>
      </c>
      <c r="D53" s="87"/>
      <c r="E53" s="87"/>
      <c r="F53" s="87"/>
      <c r="G53" s="87"/>
      <c r="H53" s="87"/>
      <c r="I53" s="87"/>
      <c r="J53" s="87"/>
      <c r="K53" s="88"/>
      <c r="L53" s="79">
        <v>917.4</v>
      </c>
      <c r="M53" s="79"/>
      <c r="N53" s="79">
        <v>0</v>
      </c>
      <c r="O53" s="79"/>
      <c r="P53" s="38">
        <v>0</v>
      </c>
    </row>
    <row r="56" spans="2:16" x14ac:dyDescent="0.25">
      <c r="C56" s="1" t="s">
        <v>38</v>
      </c>
    </row>
    <row r="57" spans="2:16" x14ac:dyDescent="0.25">
      <c r="C57" s="1" t="s">
        <v>39</v>
      </c>
    </row>
    <row r="58" spans="2:16" x14ac:dyDescent="0.25">
      <c r="C58" s="4" t="s">
        <v>93</v>
      </c>
      <c r="D58" s="22">
        <f>N44</f>
        <v>16.808246099999998</v>
      </c>
    </row>
    <row r="61" spans="2:16" x14ac:dyDescent="0.25">
      <c r="C61" s="1" t="s">
        <v>40</v>
      </c>
      <c r="D61" s="2"/>
      <c r="E61" s="2"/>
      <c r="F61" s="2"/>
      <c r="G61" s="2"/>
      <c r="J61" s="1" t="s">
        <v>41</v>
      </c>
    </row>
    <row r="64" spans="2:16" ht="24.75" customHeight="1" x14ac:dyDescent="0.25">
      <c r="C64" s="1" t="s">
        <v>42</v>
      </c>
      <c r="D64" s="2"/>
      <c r="E64" s="2"/>
      <c r="F64" s="1" t="s">
        <v>43</v>
      </c>
    </row>
    <row r="65" spans="4:6" ht="25.5" customHeight="1" x14ac:dyDescent="0.25">
      <c r="D65" s="2"/>
      <c r="E65" s="2"/>
      <c r="F65" s="1" t="s">
        <v>43</v>
      </c>
    </row>
    <row r="66" spans="4:6" ht="24.75" customHeight="1" x14ac:dyDescent="0.25">
      <c r="D66" s="2"/>
      <c r="E66" s="2"/>
      <c r="F66" s="1" t="s">
        <v>43</v>
      </c>
    </row>
  </sheetData>
  <mergeCells count="118">
    <mergeCell ref="B51:P51"/>
    <mergeCell ref="C53:K53"/>
    <mergeCell ref="L53:M53"/>
    <mergeCell ref="N53:O53"/>
    <mergeCell ref="C49:K49"/>
    <mergeCell ref="L49:M49"/>
    <mergeCell ref="N49:O49"/>
    <mergeCell ref="C50:K50"/>
    <mergeCell ref="L50:M50"/>
    <mergeCell ref="N50:O50"/>
    <mergeCell ref="C52:K52"/>
    <mergeCell ref="L52:M52"/>
    <mergeCell ref="N52:O52"/>
    <mergeCell ref="B45:P45"/>
    <mergeCell ref="C46:K46"/>
    <mergeCell ref="L46:M46"/>
    <mergeCell ref="N46:O46"/>
    <mergeCell ref="C47:K47"/>
    <mergeCell ref="L47:M47"/>
    <mergeCell ref="N47:O47"/>
    <mergeCell ref="C48:K48"/>
    <mergeCell ref="L48:M48"/>
    <mergeCell ref="N48:O48"/>
    <mergeCell ref="C42:K42"/>
    <mergeCell ref="L42:M42"/>
    <mergeCell ref="N42:O42"/>
    <mergeCell ref="C43:K43"/>
    <mergeCell ref="L43:M43"/>
    <mergeCell ref="N43:O43"/>
    <mergeCell ref="C44:K44"/>
    <mergeCell ref="L44:M44"/>
    <mergeCell ref="N44:O44"/>
    <mergeCell ref="C39:K39"/>
    <mergeCell ref="L39:M39"/>
    <mergeCell ref="N39:O39"/>
    <mergeCell ref="C40:K40"/>
    <mergeCell ref="L40:M40"/>
    <mergeCell ref="N40:O40"/>
    <mergeCell ref="C41:K41"/>
    <mergeCell ref="L41:M41"/>
    <mergeCell ref="N41:O41"/>
    <mergeCell ref="C36:K36"/>
    <mergeCell ref="L36:M36"/>
    <mergeCell ref="N36:O36"/>
    <mergeCell ref="C37:K37"/>
    <mergeCell ref="L37:M37"/>
    <mergeCell ref="N37:O37"/>
    <mergeCell ref="C38:K38"/>
    <mergeCell ref="L38:M38"/>
    <mergeCell ref="N38:O38"/>
    <mergeCell ref="C33:K33"/>
    <mergeCell ref="L33:M33"/>
    <mergeCell ref="N33:O33"/>
    <mergeCell ref="C34:K34"/>
    <mergeCell ref="L34:M34"/>
    <mergeCell ref="N34:O34"/>
    <mergeCell ref="C35:K35"/>
    <mergeCell ref="L35:M35"/>
    <mergeCell ref="N35:O35"/>
    <mergeCell ref="C29:K29"/>
    <mergeCell ref="L29:M29"/>
    <mergeCell ref="N29:O29"/>
    <mergeCell ref="B30:P30"/>
    <mergeCell ref="C31:K31"/>
    <mergeCell ref="L31:M31"/>
    <mergeCell ref="N31:O31"/>
    <mergeCell ref="C32:K32"/>
    <mergeCell ref="L32:M32"/>
    <mergeCell ref="N32:O32"/>
    <mergeCell ref="C28:K28"/>
    <mergeCell ref="L28:M28"/>
    <mergeCell ref="N28:O28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2:E22"/>
    <mergeCell ref="B2:V2"/>
    <mergeCell ref="B3:V3"/>
    <mergeCell ref="B4:V4"/>
    <mergeCell ref="P12:Q12"/>
    <mergeCell ref="P13:Q13"/>
    <mergeCell ref="P14:Q14"/>
    <mergeCell ref="P15:Q15"/>
    <mergeCell ref="P16:Q16"/>
    <mergeCell ref="T12:U12"/>
    <mergeCell ref="T13:U13"/>
    <mergeCell ref="T14:U14"/>
    <mergeCell ref="T15:U15"/>
    <mergeCell ref="T16:U16"/>
    <mergeCell ref="T18:U18"/>
    <mergeCell ref="T19:U19"/>
    <mergeCell ref="T20:U20"/>
    <mergeCell ref="T22:U22"/>
    <mergeCell ref="P18:Q18"/>
    <mergeCell ref="P19:Q19"/>
    <mergeCell ref="P20:Q20"/>
    <mergeCell ref="P22:Q22"/>
    <mergeCell ref="R12:S12"/>
    <mergeCell ref="R13:S13"/>
    <mergeCell ref="R14:S14"/>
    <mergeCell ref="R15:S15"/>
    <mergeCell ref="R16:S16"/>
    <mergeCell ref="R18:S18"/>
    <mergeCell ref="R19:S19"/>
    <mergeCell ref="R20:S20"/>
    <mergeCell ref="R22:S22"/>
    <mergeCell ref="P17:Q17"/>
    <mergeCell ref="R17:S17"/>
    <mergeCell ref="T17:U17"/>
    <mergeCell ref="P21:Q21"/>
    <mergeCell ref="R21:S21"/>
    <mergeCell ref="T21:U21"/>
  </mergeCells>
  <pageMargins left="0.25" right="0.25" top="0.75" bottom="0.75" header="0.3" footer="0.3"/>
  <pageSetup paperSize="9"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B1:V66"/>
  <sheetViews>
    <sheetView view="pageBreakPreview" topLeftCell="A10" zoomScale="79" zoomScaleNormal="84" zoomScaleSheetLayoutView="79" workbookViewId="0">
      <selection activeCell="L17" sqref="L17"/>
    </sheetView>
  </sheetViews>
  <sheetFormatPr defaultRowHeight="15.75" x14ac:dyDescent="0.25"/>
  <cols>
    <col min="1" max="1" width="2.85546875" style="1" customWidth="1"/>
    <col min="2" max="2" width="4" style="1" bestFit="1" customWidth="1"/>
    <col min="3" max="3" width="40" style="1" customWidth="1"/>
    <col min="4" max="4" width="13.28515625" style="1" customWidth="1"/>
    <col min="5" max="5" width="11.7109375" style="1" customWidth="1"/>
    <col min="6" max="6" width="10.5703125" style="1" customWidth="1"/>
    <col min="7" max="7" width="1.5703125" style="1" hidden="1" customWidth="1"/>
    <col min="8" max="8" width="12.5703125" style="1" hidden="1" customWidth="1"/>
    <col min="9" max="9" width="1.5703125" style="1" customWidth="1"/>
    <col min="10" max="10" width="11.140625" style="1" customWidth="1"/>
    <col min="11" max="11" width="2.28515625" style="1" customWidth="1"/>
    <col min="12" max="12" width="11.28515625" style="1" bestFit="1" customWidth="1"/>
    <col min="13" max="13" width="1.5703125" style="1" customWidth="1"/>
    <col min="14" max="14" width="15.7109375" style="1" customWidth="1"/>
    <col min="15" max="15" width="1.7109375" style="1" customWidth="1"/>
    <col min="16" max="16" width="12" style="1" customWidth="1"/>
    <col min="17" max="17" width="10.28515625" style="1" customWidth="1"/>
    <col min="18" max="18" width="11" style="1" customWidth="1"/>
    <col min="19" max="19" width="10.28515625" style="1" customWidth="1"/>
    <col min="20" max="20" width="15.28515625" style="1" customWidth="1"/>
    <col min="21" max="21" width="10.85546875" style="1" customWidth="1"/>
    <col min="22" max="22" width="11" style="1" customWidth="1"/>
    <col min="23" max="16384" width="9.140625" style="1"/>
  </cols>
  <sheetData>
    <row r="1" spans="2:22" ht="16.5" thickBot="1" x14ac:dyDescent="0.3"/>
    <row r="2" spans="2:22" x14ac:dyDescent="0.25">
      <c r="B2" s="63" t="s">
        <v>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5"/>
    </row>
    <row r="3" spans="2:22" x14ac:dyDescent="0.25">
      <c r="B3" s="66" t="str">
        <f>'1'!B3:V3</f>
        <v>с 1.01.2016 по 31.12.2016 г.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/>
    </row>
    <row r="4" spans="2:22" ht="16.5" thickBot="1" x14ac:dyDescent="0.3">
      <c r="B4" s="69" t="s">
        <v>32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1"/>
    </row>
    <row r="5" spans="2:22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2:22" x14ac:dyDescent="0.25">
      <c r="C6" s="29" t="s">
        <v>62</v>
      </c>
    </row>
    <row r="8" spans="2:22" x14ac:dyDescent="0.25">
      <c r="C8" s="1" t="s">
        <v>33</v>
      </c>
      <c r="D8" s="2">
        <v>911.1</v>
      </c>
    </row>
    <row r="9" spans="2:22" x14ac:dyDescent="0.25">
      <c r="C9" s="1" t="s">
        <v>35</v>
      </c>
      <c r="D9" s="3">
        <v>47</v>
      </c>
    </row>
    <row r="10" spans="2:22" x14ac:dyDescent="0.25">
      <c r="C10" s="1" t="s">
        <v>36</v>
      </c>
      <c r="D10" s="3">
        <v>20</v>
      </c>
    </row>
    <row r="12" spans="2:22" ht="63" x14ac:dyDescent="0.25">
      <c r="C12" s="27" t="s">
        <v>1</v>
      </c>
      <c r="D12" s="59" t="str">
        <f>'1'!D12:E12</f>
        <v>Содержание общего имущества дома</v>
      </c>
      <c r="E12" s="60"/>
      <c r="F12" s="27" t="s">
        <v>8</v>
      </c>
      <c r="G12" s="7"/>
      <c r="H12" s="27" t="s">
        <v>9</v>
      </c>
      <c r="I12" s="7"/>
      <c r="J12" s="28" t="str">
        <f>'1'!J12</f>
        <v>Вывоз ТБО (руб./чел.)</v>
      </c>
      <c r="K12" s="7"/>
      <c r="L12" s="28" t="s">
        <v>67</v>
      </c>
      <c r="M12" s="7"/>
      <c r="N12" s="28" t="str">
        <f>'1'!N12</f>
        <v>Обслуживание антены (руб./лиц.сч.)</v>
      </c>
      <c r="O12" s="8"/>
      <c r="P12" s="59" t="str">
        <f>'1'!P12</f>
        <v xml:space="preserve">Хол. вода </v>
      </c>
      <c r="Q12" s="60"/>
      <c r="R12" s="59" t="str">
        <f>'1'!R12</f>
        <v xml:space="preserve">Гор. вода </v>
      </c>
      <c r="S12" s="60"/>
      <c r="T12" s="59" t="str">
        <f>'1'!T12</f>
        <v>Канализация</v>
      </c>
      <c r="U12" s="60"/>
      <c r="V12" s="27" t="s">
        <v>10</v>
      </c>
    </row>
    <row r="13" spans="2:22" x14ac:dyDescent="0.25">
      <c r="C13" s="9" t="s">
        <v>2</v>
      </c>
      <c r="D13" s="57"/>
      <c r="E13" s="58"/>
      <c r="F13" s="11"/>
      <c r="G13" s="7"/>
      <c r="H13" s="11"/>
      <c r="I13" s="7"/>
      <c r="J13" s="11"/>
      <c r="K13" s="7"/>
      <c r="L13" s="11"/>
      <c r="M13" s="7"/>
      <c r="N13" s="11"/>
      <c r="O13" s="7"/>
      <c r="P13" s="57"/>
      <c r="Q13" s="58"/>
      <c r="R13" s="57"/>
      <c r="S13" s="58"/>
      <c r="T13" s="57"/>
      <c r="U13" s="58"/>
      <c r="V13" s="30">
        <f>V14</f>
        <v>-365153.22000000003</v>
      </c>
    </row>
    <row r="14" spans="2:22" ht="47.25" x14ac:dyDescent="0.25">
      <c r="C14" s="10" t="str">
        <f>'1'!C14</f>
        <v>Остаток с предыдущего периода (задолженность(-), переплата (+)) на 01.01.2016г.</v>
      </c>
      <c r="D14" s="57"/>
      <c r="E14" s="58"/>
      <c r="F14" s="11">
        <v>-98739.93</v>
      </c>
      <c r="G14" s="7"/>
      <c r="H14" s="11"/>
      <c r="I14" s="7"/>
      <c r="J14" s="11">
        <v>-14587.56</v>
      </c>
      <c r="K14" s="7"/>
      <c r="L14" s="11">
        <v>-201156.51</v>
      </c>
      <c r="M14" s="7"/>
      <c r="N14" s="11">
        <v>-1228.8399999999999</v>
      </c>
      <c r="O14" s="7"/>
      <c r="P14" s="57">
        <v>-6225.01</v>
      </c>
      <c r="Q14" s="58"/>
      <c r="R14" s="57">
        <v>-28421.15</v>
      </c>
      <c r="S14" s="58"/>
      <c r="T14" s="57">
        <v>-14794.22</v>
      </c>
      <c r="U14" s="58"/>
      <c r="V14" s="14">
        <f>F14+H14+J14+L14+N14+P14+Q14+R14+S14+T14+U14</f>
        <v>-365153.22000000003</v>
      </c>
    </row>
    <row r="15" spans="2:22" x14ac:dyDescent="0.25">
      <c r="C15" s="9" t="s">
        <v>3</v>
      </c>
      <c r="D15" s="57"/>
      <c r="E15" s="58"/>
      <c r="F15" s="11">
        <v>159820.99</v>
      </c>
      <c r="G15" s="7"/>
      <c r="H15" s="14"/>
      <c r="I15" s="7"/>
      <c r="J15" s="14">
        <v>26941.59</v>
      </c>
      <c r="K15" s="7"/>
      <c r="L15" s="11">
        <v>421105.58</v>
      </c>
      <c r="M15" s="7"/>
      <c r="N15" s="11">
        <v>8400</v>
      </c>
      <c r="O15" s="7"/>
      <c r="P15" s="61">
        <f>18694.8+1142.28</f>
        <v>19837.079999999998</v>
      </c>
      <c r="Q15" s="62"/>
      <c r="R15" s="61">
        <f>93950.17+4962.06</f>
        <v>98912.23</v>
      </c>
      <c r="S15" s="62"/>
      <c r="T15" s="61">
        <f>23220.75+17687.07</f>
        <v>40907.82</v>
      </c>
      <c r="U15" s="62"/>
      <c r="V15" s="11">
        <f>F15+H15+J15+L15+N15+P15+Q15+R15+S15+T15+U15</f>
        <v>775925.28999999992</v>
      </c>
    </row>
    <row r="16" spans="2:22" x14ac:dyDescent="0.25">
      <c r="C16" s="9" t="s">
        <v>4</v>
      </c>
      <c r="D16" s="57"/>
      <c r="E16" s="58"/>
      <c r="F16" s="11">
        <f>3657.14+162659.23</f>
        <v>166316.37000000002</v>
      </c>
      <c r="G16" s="7"/>
      <c r="H16" s="14"/>
      <c r="I16" s="7"/>
      <c r="J16" s="14">
        <v>27486.560000000001</v>
      </c>
      <c r="K16" s="7"/>
      <c r="L16" s="11">
        <v>414447.83</v>
      </c>
      <c r="M16" s="7"/>
      <c r="N16" s="14">
        <v>7503.38</v>
      </c>
      <c r="O16" s="7"/>
      <c r="P16" s="61">
        <f>17949.89+644.63</f>
        <v>18594.52</v>
      </c>
      <c r="Q16" s="62"/>
      <c r="R16" s="61">
        <f>90348.81+2732.78</f>
        <v>93081.59</v>
      </c>
      <c r="S16" s="62"/>
      <c r="T16" s="61">
        <f>24799.76+15519.25</f>
        <v>40319.009999999995</v>
      </c>
      <c r="U16" s="62"/>
      <c r="V16" s="12">
        <f t="shared" ref="V16:V17" si="0">F16+H16+J16+L16+N16+P16+Q16+R16+S16+T16+U16</f>
        <v>767749.26</v>
      </c>
    </row>
    <row r="17" spans="2:22" ht="31.5" x14ac:dyDescent="0.25">
      <c r="C17" s="10" t="s">
        <v>5</v>
      </c>
      <c r="D17" s="57"/>
      <c r="E17" s="58"/>
      <c r="F17" s="14">
        <f>P44+P50</f>
        <v>183767.91626052005</v>
      </c>
      <c r="G17" s="7"/>
      <c r="H17" s="14">
        <f>P53</f>
        <v>0</v>
      </c>
      <c r="I17" s="7"/>
      <c r="J17" s="14">
        <f>J15+18637.28</f>
        <v>45578.869999999995</v>
      </c>
      <c r="K17" s="7"/>
      <c r="L17" s="11">
        <f>(D8*L20*6)+(D8*L21*6)</f>
        <v>438257.32200000004</v>
      </c>
      <c r="M17" s="7"/>
      <c r="N17" s="14">
        <f>'1'!N17</f>
        <v>11336.326999999999</v>
      </c>
      <c r="O17" s="7"/>
      <c r="P17" s="61">
        <f>P15+Q15+114670.71</f>
        <v>134507.79</v>
      </c>
      <c r="Q17" s="62"/>
      <c r="R17" s="61">
        <f>R15+S15</f>
        <v>98912.23</v>
      </c>
      <c r="S17" s="62"/>
      <c r="T17" s="61">
        <f>T15+U15</f>
        <v>40907.82</v>
      </c>
      <c r="U17" s="62"/>
      <c r="V17" s="12">
        <f t="shared" si="0"/>
        <v>953268.27526052005</v>
      </c>
    </row>
    <row r="18" spans="2:22" ht="31.5" x14ac:dyDescent="0.25">
      <c r="C18" s="10" t="str">
        <f>'1'!C18</f>
        <v>Текущий остаток (задолженность (-), переплата (+)) на 31.12.2016 г.</v>
      </c>
      <c r="D18" s="57"/>
      <c r="E18" s="58"/>
      <c r="F18" s="31">
        <f>F16-F15+F14</f>
        <v>-92244.549999999959</v>
      </c>
      <c r="G18" s="40"/>
      <c r="H18" s="31">
        <f>H16-H15+H14</f>
        <v>0</v>
      </c>
      <c r="I18" s="40"/>
      <c r="J18" s="31">
        <f>J16-J15+J14</f>
        <v>-14042.589999999998</v>
      </c>
      <c r="K18" s="40"/>
      <c r="L18" s="31">
        <f>L16-L15+L14</f>
        <v>-207814.26</v>
      </c>
      <c r="M18" s="40"/>
      <c r="N18" s="31">
        <f>N16-N15+N14</f>
        <v>-2125.46</v>
      </c>
      <c r="O18" s="40"/>
      <c r="P18" s="55">
        <f t="shared" ref="P18:V18" si="1">P16-P15+P14</f>
        <v>-7467.5699999999979</v>
      </c>
      <c r="Q18" s="56"/>
      <c r="R18" s="55">
        <f t="shared" si="1"/>
        <v>-34251.79</v>
      </c>
      <c r="S18" s="56"/>
      <c r="T18" s="55">
        <f t="shared" si="1"/>
        <v>-15383.030000000004</v>
      </c>
      <c r="U18" s="56"/>
      <c r="V18" s="31">
        <f t="shared" si="1"/>
        <v>-373329.24999999994</v>
      </c>
    </row>
    <row r="19" spans="2:22" x14ac:dyDescent="0.25">
      <c r="C19" s="9" t="s">
        <v>6</v>
      </c>
      <c r="D19" s="57"/>
      <c r="E19" s="58"/>
      <c r="F19" s="11"/>
      <c r="G19" s="7"/>
      <c r="H19" s="11"/>
      <c r="I19" s="7"/>
      <c r="J19" s="11"/>
      <c r="K19" s="7"/>
      <c r="L19" s="11"/>
      <c r="M19" s="7"/>
      <c r="N19" s="11"/>
      <c r="O19" s="7"/>
      <c r="P19" s="57"/>
      <c r="Q19" s="58"/>
      <c r="R19" s="57"/>
      <c r="S19" s="58"/>
      <c r="T19" s="57"/>
      <c r="U19" s="58"/>
      <c r="V19" s="30">
        <f>F18+H18+J18+L18+N18+P18+Q18+R18+S18+T18+U18</f>
        <v>-373329.25</v>
      </c>
    </row>
    <row r="20" spans="2:22" x14ac:dyDescent="0.25">
      <c r="C20" s="9" t="str">
        <f>'1'!C20</f>
        <v>Тариф (руб/м²), 1-е полугодие</v>
      </c>
      <c r="D20" s="57"/>
      <c r="E20" s="58"/>
      <c r="F20" s="13">
        <f>'1'!F20</f>
        <v>15.31</v>
      </c>
      <c r="G20" s="7"/>
      <c r="H20" s="11">
        <f>'1'!H20</f>
        <v>37.700000000000003</v>
      </c>
      <c r="I20" s="7"/>
      <c r="J20" s="13">
        <f>'1'!J20</f>
        <v>44.32</v>
      </c>
      <c r="K20" s="7"/>
      <c r="L20" s="11">
        <v>39.520000000000003</v>
      </c>
      <c r="M20" s="7"/>
      <c r="N20" s="11">
        <f>'1'!N20</f>
        <v>50</v>
      </c>
      <c r="O20" s="7"/>
      <c r="P20" s="57" t="str">
        <f>'1'!P20</f>
        <v xml:space="preserve">15,02 руб./м3 </v>
      </c>
      <c r="Q20" s="58"/>
      <c r="R20" s="57" t="str">
        <f>'1'!R20</f>
        <v>99,55 руб./м3</v>
      </c>
      <c r="S20" s="58"/>
      <c r="T20" s="57" t="str">
        <f>'1'!T20</f>
        <v>18,66 руб./м3</v>
      </c>
      <c r="U20" s="58"/>
      <c r="V20" s="11"/>
    </row>
    <row r="21" spans="2:22" x14ac:dyDescent="0.25">
      <c r="C21" s="9" t="str">
        <f>'1'!C21</f>
        <v>Тариф (руб/м²), 2-е полугодие</v>
      </c>
      <c r="D21" s="50"/>
      <c r="E21" s="51"/>
      <c r="F21" s="21">
        <f>'1'!F21</f>
        <v>15.31</v>
      </c>
      <c r="G21" s="7"/>
      <c r="H21" s="21"/>
      <c r="I21" s="7"/>
      <c r="J21" s="21">
        <f>'1'!J21</f>
        <v>44.32</v>
      </c>
      <c r="K21" s="7"/>
      <c r="L21" s="21">
        <f>'4'!L21</f>
        <v>40.65</v>
      </c>
      <c r="M21" s="7"/>
      <c r="N21" s="21">
        <f>'1'!N21</f>
        <v>50</v>
      </c>
      <c r="O21" s="7"/>
      <c r="P21" s="57" t="str">
        <f>'1'!P21:Q21</f>
        <v>15,63 руб./м³</v>
      </c>
      <c r="Q21" s="58"/>
      <c r="R21" s="57" t="str">
        <f>'1'!R21:S21</f>
        <v>102,59 руб./м³</v>
      </c>
      <c r="S21" s="58"/>
      <c r="T21" s="57" t="str">
        <f>'1'!T21:U21</f>
        <v>19,41 руб./м³</v>
      </c>
      <c r="U21" s="58"/>
      <c r="V21" s="21"/>
    </row>
    <row r="22" spans="2:22" x14ac:dyDescent="0.25">
      <c r="C22" s="9" t="s">
        <v>44</v>
      </c>
      <c r="D22" s="57"/>
      <c r="E22" s="58"/>
      <c r="F22" s="18">
        <f>N44+N50</f>
        <v>16.808246099999998</v>
      </c>
      <c r="G22" s="7"/>
      <c r="H22" s="11"/>
      <c r="I22" s="7"/>
      <c r="J22" s="11"/>
      <c r="K22" s="7"/>
      <c r="L22" s="11"/>
      <c r="M22" s="7"/>
      <c r="N22" s="11"/>
      <c r="O22" s="7"/>
      <c r="P22" s="57"/>
      <c r="Q22" s="58"/>
      <c r="R22" s="57"/>
      <c r="S22" s="58"/>
      <c r="T22" s="57"/>
      <c r="U22" s="58"/>
      <c r="V22" s="11"/>
    </row>
    <row r="24" spans="2:22" x14ac:dyDescent="0.25">
      <c r="C24" s="5" t="s">
        <v>11</v>
      </c>
    </row>
    <row r="25" spans="2:22" x14ac:dyDescent="0.25">
      <c r="C25" s="1" t="s">
        <v>12</v>
      </c>
      <c r="J25" s="34">
        <f>V19/V15*100</f>
        <v>-48.114071652439641</v>
      </c>
      <c r="K25" s="35" t="s">
        <v>37</v>
      </c>
    </row>
    <row r="28" spans="2:22" ht="33" customHeight="1" x14ac:dyDescent="0.25">
      <c r="B28" s="27" t="s">
        <v>13</v>
      </c>
      <c r="C28" s="72" t="s">
        <v>14</v>
      </c>
      <c r="D28" s="72"/>
      <c r="E28" s="72"/>
      <c r="F28" s="72"/>
      <c r="G28" s="72"/>
      <c r="H28" s="72"/>
      <c r="I28" s="72"/>
      <c r="J28" s="72"/>
      <c r="K28" s="72"/>
      <c r="L28" s="73" t="s">
        <v>45</v>
      </c>
      <c r="M28" s="73"/>
      <c r="N28" s="73" t="s">
        <v>46</v>
      </c>
      <c r="O28" s="73"/>
      <c r="P28" s="27" t="s">
        <v>28</v>
      </c>
    </row>
    <row r="29" spans="2:22" x14ac:dyDescent="0.25">
      <c r="B29" s="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4"/>
    </row>
    <row r="30" spans="2:22" x14ac:dyDescent="0.25">
      <c r="B30" s="90" t="s">
        <v>7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</row>
    <row r="31" spans="2:22" x14ac:dyDescent="0.25">
      <c r="B31" s="4">
        <v>1</v>
      </c>
      <c r="C31" s="76" t="s">
        <v>15</v>
      </c>
      <c r="D31" s="76"/>
      <c r="E31" s="76"/>
      <c r="F31" s="76"/>
      <c r="G31" s="76"/>
      <c r="H31" s="76"/>
      <c r="I31" s="76"/>
      <c r="J31" s="76"/>
      <c r="K31" s="76"/>
      <c r="L31" s="74">
        <v>911.1</v>
      </c>
      <c r="M31" s="74"/>
      <c r="N31" s="77">
        <f>'1'!N31:O31</f>
        <v>3.5</v>
      </c>
      <c r="O31" s="77"/>
      <c r="P31" s="17">
        <f>L31*N31*12</f>
        <v>38266.199999999997</v>
      </c>
    </row>
    <row r="32" spans="2:22" x14ac:dyDescent="0.25">
      <c r="B32" s="4">
        <v>2</v>
      </c>
      <c r="C32" s="76" t="s">
        <v>34</v>
      </c>
      <c r="D32" s="76"/>
      <c r="E32" s="76"/>
      <c r="F32" s="76"/>
      <c r="G32" s="76"/>
      <c r="H32" s="76"/>
      <c r="I32" s="76"/>
      <c r="J32" s="76"/>
      <c r="K32" s="76"/>
      <c r="L32" s="74">
        <v>911.1</v>
      </c>
      <c r="M32" s="74"/>
      <c r="N32" s="77">
        <f>'1'!N32:O32</f>
        <v>0.98752150000000005</v>
      </c>
      <c r="O32" s="77"/>
      <c r="P32" s="17">
        <f t="shared" ref="P32:P43" si="2">L32*N32*12</f>
        <v>10796.770063800002</v>
      </c>
    </row>
    <row r="33" spans="2:16" x14ac:dyDescent="0.25">
      <c r="B33" s="4">
        <v>3</v>
      </c>
      <c r="C33" s="76" t="s">
        <v>16</v>
      </c>
      <c r="D33" s="76"/>
      <c r="E33" s="76"/>
      <c r="F33" s="76"/>
      <c r="G33" s="76"/>
      <c r="H33" s="76"/>
      <c r="I33" s="76"/>
      <c r="J33" s="76"/>
      <c r="K33" s="76"/>
      <c r="L33" s="74">
        <v>911.1</v>
      </c>
      <c r="M33" s="74"/>
      <c r="N33" s="77">
        <f>'1'!N33:O33</f>
        <v>2.8257476000000001</v>
      </c>
      <c r="O33" s="77"/>
      <c r="P33" s="17">
        <f t="shared" si="2"/>
        <v>30894.463660320005</v>
      </c>
    </row>
    <row r="34" spans="2:16" x14ac:dyDescent="0.25">
      <c r="B34" s="4">
        <v>4</v>
      </c>
      <c r="C34" s="76" t="s">
        <v>17</v>
      </c>
      <c r="D34" s="76"/>
      <c r="E34" s="76"/>
      <c r="F34" s="76"/>
      <c r="G34" s="76"/>
      <c r="H34" s="76"/>
      <c r="I34" s="76"/>
      <c r="J34" s="76"/>
      <c r="K34" s="76"/>
      <c r="L34" s="74">
        <v>911.1</v>
      </c>
      <c r="M34" s="74"/>
      <c r="N34" s="77">
        <f>'1'!N34:O34</f>
        <v>1</v>
      </c>
      <c r="O34" s="77"/>
      <c r="P34" s="17">
        <f t="shared" si="2"/>
        <v>10933.2</v>
      </c>
    </row>
    <row r="35" spans="2:16" x14ac:dyDescent="0.25">
      <c r="B35" s="4">
        <v>5</v>
      </c>
      <c r="C35" s="76" t="s">
        <v>18</v>
      </c>
      <c r="D35" s="76"/>
      <c r="E35" s="76"/>
      <c r="F35" s="76"/>
      <c r="G35" s="76"/>
      <c r="H35" s="76"/>
      <c r="I35" s="76"/>
      <c r="J35" s="76"/>
      <c r="K35" s="76"/>
      <c r="L35" s="74">
        <v>911.1</v>
      </c>
      <c r="M35" s="74"/>
      <c r="N35" s="77">
        <f>'1'!N35:O35</f>
        <v>2</v>
      </c>
      <c r="O35" s="77"/>
      <c r="P35" s="17">
        <f t="shared" si="2"/>
        <v>21866.400000000001</v>
      </c>
    </row>
    <row r="36" spans="2:16" x14ac:dyDescent="0.25">
      <c r="B36" s="4">
        <v>6</v>
      </c>
      <c r="C36" s="76" t="s">
        <v>24</v>
      </c>
      <c r="D36" s="76"/>
      <c r="E36" s="76"/>
      <c r="F36" s="76"/>
      <c r="G36" s="76"/>
      <c r="H36" s="76"/>
      <c r="I36" s="76"/>
      <c r="J36" s="76"/>
      <c r="K36" s="76"/>
      <c r="L36" s="74">
        <v>911.1</v>
      </c>
      <c r="M36" s="74"/>
      <c r="N36" s="77">
        <f>'1'!N36:O36</f>
        <v>3</v>
      </c>
      <c r="O36" s="77"/>
      <c r="P36" s="17">
        <f t="shared" si="2"/>
        <v>32799.600000000006</v>
      </c>
    </row>
    <row r="37" spans="2:16" x14ac:dyDescent="0.25">
      <c r="B37" s="4">
        <v>7</v>
      </c>
      <c r="C37" s="76" t="s">
        <v>19</v>
      </c>
      <c r="D37" s="76"/>
      <c r="E37" s="76"/>
      <c r="F37" s="76"/>
      <c r="G37" s="76"/>
      <c r="H37" s="76"/>
      <c r="I37" s="76"/>
      <c r="J37" s="76"/>
      <c r="K37" s="76"/>
      <c r="L37" s="74">
        <v>911.1</v>
      </c>
      <c r="M37" s="74"/>
      <c r="N37" s="77">
        <f>'1'!N37:O37</f>
        <v>0.5</v>
      </c>
      <c r="O37" s="77"/>
      <c r="P37" s="17">
        <f t="shared" si="2"/>
        <v>5466.6</v>
      </c>
    </row>
    <row r="38" spans="2:16" x14ac:dyDescent="0.25">
      <c r="B38" s="4">
        <v>8</v>
      </c>
      <c r="C38" s="76" t="s">
        <v>20</v>
      </c>
      <c r="D38" s="76"/>
      <c r="E38" s="76"/>
      <c r="F38" s="76"/>
      <c r="G38" s="76"/>
      <c r="H38" s="76"/>
      <c r="I38" s="76"/>
      <c r="J38" s="76"/>
      <c r="K38" s="76"/>
      <c r="L38" s="74">
        <v>911.1</v>
      </c>
      <c r="M38" s="74"/>
      <c r="N38" s="77">
        <f>'1'!N38:O38</f>
        <v>1.694977</v>
      </c>
      <c r="O38" s="77"/>
      <c r="P38" s="17">
        <f t="shared" si="2"/>
        <v>18531.5225364</v>
      </c>
    </row>
    <row r="39" spans="2:16" x14ac:dyDescent="0.25">
      <c r="B39" s="4">
        <v>9</v>
      </c>
      <c r="C39" s="76" t="s">
        <v>84</v>
      </c>
      <c r="D39" s="76"/>
      <c r="E39" s="76"/>
      <c r="F39" s="76"/>
      <c r="G39" s="76"/>
      <c r="H39" s="76"/>
      <c r="I39" s="76"/>
      <c r="J39" s="76"/>
      <c r="K39" s="76"/>
      <c r="L39" s="74">
        <v>911.1</v>
      </c>
      <c r="M39" s="74"/>
      <c r="N39" s="77">
        <f>'1'!N39:O39</f>
        <v>0.1</v>
      </c>
      <c r="O39" s="77"/>
      <c r="P39" s="17">
        <f t="shared" si="2"/>
        <v>1093.3200000000002</v>
      </c>
    </row>
    <row r="40" spans="2:16" x14ac:dyDescent="0.25">
      <c r="B40" s="4">
        <v>10</v>
      </c>
      <c r="C40" s="76" t="s">
        <v>21</v>
      </c>
      <c r="D40" s="76"/>
      <c r="E40" s="76"/>
      <c r="F40" s="76"/>
      <c r="G40" s="76"/>
      <c r="H40" s="76"/>
      <c r="I40" s="76"/>
      <c r="J40" s="76"/>
      <c r="K40" s="76"/>
      <c r="L40" s="74">
        <v>911.1</v>
      </c>
      <c r="M40" s="74"/>
      <c r="N40" s="77">
        <f>'1'!N40:O40</f>
        <v>0.2</v>
      </c>
      <c r="O40" s="77"/>
      <c r="P40" s="17">
        <f t="shared" si="2"/>
        <v>2186.6400000000003</v>
      </c>
    </row>
    <row r="41" spans="2:16" x14ac:dyDescent="0.25">
      <c r="B41" s="4">
        <v>11</v>
      </c>
      <c r="C41" s="76" t="s">
        <v>22</v>
      </c>
      <c r="D41" s="76"/>
      <c r="E41" s="76"/>
      <c r="F41" s="76"/>
      <c r="G41" s="76"/>
      <c r="H41" s="76"/>
      <c r="I41" s="76"/>
      <c r="J41" s="76"/>
      <c r="K41" s="76"/>
      <c r="L41" s="74">
        <v>911.1</v>
      </c>
      <c r="M41" s="74"/>
      <c r="N41" s="77">
        <f>'1'!N41:O41</f>
        <v>0.5</v>
      </c>
      <c r="O41" s="77"/>
      <c r="P41" s="17">
        <f t="shared" si="2"/>
        <v>5466.6</v>
      </c>
    </row>
    <row r="42" spans="2:16" hidden="1" x14ac:dyDescent="0.25">
      <c r="B42" s="4">
        <v>12</v>
      </c>
      <c r="C42" s="76" t="s">
        <v>23</v>
      </c>
      <c r="D42" s="76"/>
      <c r="E42" s="76"/>
      <c r="F42" s="76"/>
      <c r="G42" s="76"/>
      <c r="H42" s="76"/>
      <c r="I42" s="76"/>
      <c r="J42" s="76"/>
      <c r="K42" s="76"/>
      <c r="L42" s="74">
        <v>911.1</v>
      </c>
      <c r="M42" s="74"/>
      <c r="N42" s="77">
        <f>'1'!N42:O42</f>
        <v>0</v>
      </c>
      <c r="O42" s="77"/>
      <c r="P42" s="17">
        <f t="shared" si="2"/>
        <v>0</v>
      </c>
    </row>
    <row r="43" spans="2:16" x14ac:dyDescent="0.25">
      <c r="B43" s="4">
        <v>12</v>
      </c>
      <c r="C43" s="76" t="s">
        <v>25</v>
      </c>
      <c r="D43" s="76"/>
      <c r="E43" s="76"/>
      <c r="F43" s="76"/>
      <c r="G43" s="76"/>
      <c r="H43" s="76"/>
      <c r="I43" s="76"/>
      <c r="J43" s="76"/>
      <c r="K43" s="76"/>
      <c r="L43" s="74">
        <v>911.1</v>
      </c>
      <c r="M43" s="74"/>
      <c r="N43" s="77">
        <f>'1'!N43:O43</f>
        <v>0.5</v>
      </c>
      <c r="O43" s="77"/>
      <c r="P43" s="17">
        <f t="shared" si="2"/>
        <v>5466.6</v>
      </c>
    </row>
    <row r="44" spans="2:16" ht="19.5" customHeight="1" x14ac:dyDescent="0.25">
      <c r="B44" s="38"/>
      <c r="C44" s="78" t="s">
        <v>26</v>
      </c>
      <c r="D44" s="78"/>
      <c r="E44" s="78"/>
      <c r="F44" s="78"/>
      <c r="G44" s="78"/>
      <c r="H44" s="78"/>
      <c r="I44" s="78"/>
      <c r="J44" s="78"/>
      <c r="K44" s="78"/>
      <c r="L44" s="79">
        <v>911.1</v>
      </c>
      <c r="M44" s="79"/>
      <c r="N44" s="91">
        <f>SUM(N31:O43)</f>
        <v>16.808246099999998</v>
      </c>
      <c r="O44" s="91"/>
      <c r="P44" s="39">
        <f>SUM(P31:P43)</f>
        <v>183767.91626052005</v>
      </c>
    </row>
    <row r="45" spans="2:16" hidden="1" x14ac:dyDescent="0.25">
      <c r="B45" s="90" t="s">
        <v>27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</row>
    <row r="46" spans="2:16" hidden="1" x14ac:dyDescent="0.25">
      <c r="B46" s="4">
        <v>1</v>
      </c>
      <c r="C46" s="82" t="s">
        <v>73</v>
      </c>
      <c r="D46" s="83"/>
      <c r="E46" s="83"/>
      <c r="F46" s="83"/>
      <c r="G46" s="83"/>
      <c r="H46" s="83"/>
      <c r="I46" s="83"/>
      <c r="J46" s="83"/>
      <c r="K46" s="84"/>
      <c r="L46" s="74">
        <v>911.1</v>
      </c>
      <c r="M46" s="74"/>
      <c r="N46" s="74"/>
      <c r="O46" s="74"/>
      <c r="P46" s="17">
        <f>L46*N46*6</f>
        <v>0</v>
      </c>
    </row>
    <row r="47" spans="2:16" hidden="1" x14ac:dyDescent="0.25">
      <c r="B47" s="4">
        <v>2</v>
      </c>
      <c r="C47" s="82" t="s">
        <v>74</v>
      </c>
      <c r="D47" s="83"/>
      <c r="E47" s="83"/>
      <c r="F47" s="83"/>
      <c r="G47" s="83"/>
      <c r="H47" s="83"/>
      <c r="I47" s="83"/>
      <c r="J47" s="83"/>
      <c r="K47" s="84"/>
      <c r="L47" s="74">
        <v>911.1</v>
      </c>
      <c r="M47" s="74"/>
      <c r="N47" s="74"/>
      <c r="O47" s="74"/>
      <c r="P47" s="17">
        <f>L47*N47*6</f>
        <v>0</v>
      </c>
    </row>
    <row r="48" spans="2:16" hidden="1" x14ac:dyDescent="0.25">
      <c r="B48" s="4">
        <v>3</v>
      </c>
      <c r="C48" s="74"/>
      <c r="D48" s="74"/>
      <c r="E48" s="74"/>
      <c r="F48" s="74"/>
      <c r="G48" s="74"/>
      <c r="H48" s="74"/>
      <c r="I48" s="74"/>
      <c r="J48" s="74"/>
      <c r="K48" s="74"/>
      <c r="L48" s="74">
        <v>911.1</v>
      </c>
      <c r="M48" s="74"/>
      <c r="N48" s="74"/>
      <c r="O48" s="74"/>
      <c r="P48" s="17"/>
    </row>
    <row r="49" spans="2:16" hidden="1" x14ac:dyDescent="0.25">
      <c r="B49" s="4">
        <v>4</v>
      </c>
      <c r="C49" s="74"/>
      <c r="D49" s="74"/>
      <c r="E49" s="74"/>
      <c r="F49" s="74"/>
      <c r="G49" s="74"/>
      <c r="H49" s="74"/>
      <c r="I49" s="74"/>
      <c r="J49" s="74"/>
      <c r="K49" s="74"/>
      <c r="L49" s="74">
        <v>911.1</v>
      </c>
      <c r="M49" s="74"/>
      <c r="N49" s="74"/>
      <c r="O49" s="74"/>
      <c r="P49" s="17"/>
    </row>
    <row r="50" spans="2:16" hidden="1" x14ac:dyDescent="0.25">
      <c r="B50" s="38"/>
      <c r="C50" s="86" t="s">
        <v>29</v>
      </c>
      <c r="D50" s="87"/>
      <c r="E50" s="87"/>
      <c r="F50" s="87"/>
      <c r="G50" s="87"/>
      <c r="H50" s="87"/>
      <c r="I50" s="87"/>
      <c r="J50" s="87"/>
      <c r="K50" s="88"/>
      <c r="L50" s="79">
        <v>911.1</v>
      </c>
      <c r="M50" s="79"/>
      <c r="N50" s="79">
        <f>SUM(N46:O49)</f>
        <v>0</v>
      </c>
      <c r="O50" s="79"/>
      <c r="P50" s="39">
        <f>SUM(P46:P49)</f>
        <v>0</v>
      </c>
    </row>
    <row r="51" spans="2:16" hidden="1" x14ac:dyDescent="0.25">
      <c r="B51" s="90" t="s">
        <v>30</v>
      </c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</row>
    <row r="52" spans="2:16" hidden="1" x14ac:dyDescent="0.25">
      <c r="B52" s="15"/>
      <c r="C52" s="82" t="s">
        <v>70</v>
      </c>
      <c r="D52" s="83"/>
      <c r="E52" s="83"/>
      <c r="F52" s="83"/>
      <c r="G52" s="83"/>
      <c r="H52" s="83"/>
      <c r="I52" s="83"/>
      <c r="J52" s="83"/>
      <c r="K52" s="84"/>
      <c r="L52" s="96">
        <v>911.1</v>
      </c>
      <c r="M52" s="93"/>
      <c r="N52" s="96">
        <v>0</v>
      </c>
      <c r="O52" s="93"/>
      <c r="P52" s="15"/>
    </row>
    <row r="53" spans="2:16" hidden="1" x14ac:dyDescent="0.25">
      <c r="B53" s="38"/>
      <c r="C53" s="86" t="s">
        <v>31</v>
      </c>
      <c r="D53" s="87"/>
      <c r="E53" s="87"/>
      <c r="F53" s="87"/>
      <c r="G53" s="87"/>
      <c r="H53" s="87"/>
      <c r="I53" s="87"/>
      <c r="J53" s="87"/>
      <c r="K53" s="88"/>
      <c r="L53" s="79">
        <v>911.1</v>
      </c>
      <c r="M53" s="79"/>
      <c r="N53" s="79">
        <v>0</v>
      </c>
      <c r="O53" s="79"/>
      <c r="P53" s="38">
        <f>P52</f>
        <v>0</v>
      </c>
    </row>
    <row r="56" spans="2:16" x14ac:dyDescent="0.25">
      <c r="C56" s="1" t="s">
        <v>38</v>
      </c>
    </row>
    <row r="57" spans="2:16" x14ac:dyDescent="0.25">
      <c r="C57" s="1" t="s">
        <v>39</v>
      </c>
    </row>
    <row r="58" spans="2:16" x14ac:dyDescent="0.25">
      <c r="C58" s="4" t="s">
        <v>93</v>
      </c>
      <c r="D58" s="22">
        <f>N44</f>
        <v>16.808246099999998</v>
      </c>
    </row>
    <row r="61" spans="2:16" x14ac:dyDescent="0.25">
      <c r="C61" s="1" t="s">
        <v>40</v>
      </c>
      <c r="D61" s="2"/>
      <c r="E61" s="2"/>
      <c r="F61" s="2"/>
      <c r="G61" s="2"/>
      <c r="J61" s="1" t="s">
        <v>41</v>
      </c>
    </row>
    <row r="64" spans="2:16" ht="24.75" customHeight="1" x14ac:dyDescent="0.25">
      <c r="C64" s="1" t="s">
        <v>42</v>
      </c>
      <c r="D64" s="2"/>
      <c r="E64" s="2"/>
      <c r="F64" s="1" t="s">
        <v>43</v>
      </c>
    </row>
    <row r="65" spans="4:6" ht="25.5" customHeight="1" x14ac:dyDescent="0.25">
      <c r="D65" s="2"/>
      <c r="E65" s="2"/>
      <c r="F65" s="1" t="s">
        <v>43</v>
      </c>
    </row>
    <row r="66" spans="4:6" ht="24.75" customHeight="1" x14ac:dyDescent="0.25">
      <c r="D66" s="2"/>
      <c r="E66" s="2"/>
      <c r="F66" s="1" t="s">
        <v>43</v>
      </c>
    </row>
  </sheetData>
  <mergeCells count="118">
    <mergeCell ref="B51:P51"/>
    <mergeCell ref="C53:K53"/>
    <mergeCell ref="L53:M53"/>
    <mergeCell ref="N53:O53"/>
    <mergeCell ref="C49:K49"/>
    <mergeCell ref="L49:M49"/>
    <mergeCell ref="N49:O49"/>
    <mergeCell ref="C50:K50"/>
    <mergeCell ref="L50:M50"/>
    <mergeCell ref="N50:O50"/>
    <mergeCell ref="C52:K52"/>
    <mergeCell ref="L52:M52"/>
    <mergeCell ref="N52:O52"/>
    <mergeCell ref="B45:P45"/>
    <mergeCell ref="C46:K46"/>
    <mergeCell ref="L46:M46"/>
    <mergeCell ref="N46:O46"/>
    <mergeCell ref="C47:K47"/>
    <mergeCell ref="L47:M47"/>
    <mergeCell ref="N47:O47"/>
    <mergeCell ref="C48:K48"/>
    <mergeCell ref="L48:M48"/>
    <mergeCell ref="N48:O48"/>
    <mergeCell ref="C42:K42"/>
    <mergeCell ref="L42:M42"/>
    <mergeCell ref="N42:O42"/>
    <mergeCell ref="C43:K43"/>
    <mergeCell ref="L43:M43"/>
    <mergeCell ref="N43:O43"/>
    <mergeCell ref="C44:K44"/>
    <mergeCell ref="L44:M44"/>
    <mergeCell ref="N44:O44"/>
    <mergeCell ref="C39:K39"/>
    <mergeCell ref="L39:M39"/>
    <mergeCell ref="N39:O39"/>
    <mergeCell ref="C40:K40"/>
    <mergeCell ref="L40:M40"/>
    <mergeCell ref="N40:O40"/>
    <mergeCell ref="C41:K41"/>
    <mergeCell ref="L41:M41"/>
    <mergeCell ref="N41:O41"/>
    <mergeCell ref="C36:K36"/>
    <mergeCell ref="L36:M36"/>
    <mergeCell ref="N36:O36"/>
    <mergeCell ref="C37:K37"/>
    <mergeCell ref="L37:M37"/>
    <mergeCell ref="N37:O37"/>
    <mergeCell ref="C38:K38"/>
    <mergeCell ref="L38:M38"/>
    <mergeCell ref="N38:O38"/>
    <mergeCell ref="C33:K33"/>
    <mergeCell ref="L33:M33"/>
    <mergeCell ref="N33:O33"/>
    <mergeCell ref="C34:K34"/>
    <mergeCell ref="L34:M34"/>
    <mergeCell ref="N34:O34"/>
    <mergeCell ref="C35:K35"/>
    <mergeCell ref="L35:M35"/>
    <mergeCell ref="N35:O35"/>
    <mergeCell ref="C29:K29"/>
    <mergeCell ref="L29:M29"/>
    <mergeCell ref="N29:O29"/>
    <mergeCell ref="B30:P30"/>
    <mergeCell ref="C31:K31"/>
    <mergeCell ref="L31:M31"/>
    <mergeCell ref="N31:O31"/>
    <mergeCell ref="C32:K32"/>
    <mergeCell ref="L32:M32"/>
    <mergeCell ref="N32:O32"/>
    <mergeCell ref="C28:K28"/>
    <mergeCell ref="L28:M28"/>
    <mergeCell ref="N28:O28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2:E22"/>
    <mergeCell ref="B2:V2"/>
    <mergeCell ref="B3:V3"/>
    <mergeCell ref="B4:V4"/>
    <mergeCell ref="P12:Q12"/>
    <mergeCell ref="P13:Q13"/>
    <mergeCell ref="P14:Q14"/>
    <mergeCell ref="P15:Q15"/>
    <mergeCell ref="P16:Q16"/>
    <mergeCell ref="T12:U12"/>
    <mergeCell ref="T13:U13"/>
    <mergeCell ref="T14:U14"/>
    <mergeCell ref="T15:U15"/>
    <mergeCell ref="T16:U16"/>
    <mergeCell ref="T18:U18"/>
    <mergeCell ref="T19:U19"/>
    <mergeCell ref="T20:U20"/>
    <mergeCell ref="T22:U22"/>
    <mergeCell ref="P18:Q18"/>
    <mergeCell ref="P19:Q19"/>
    <mergeCell ref="P20:Q20"/>
    <mergeCell ref="P22:Q22"/>
    <mergeCell ref="R12:S12"/>
    <mergeCell ref="R13:S13"/>
    <mergeCell ref="R14:S14"/>
    <mergeCell ref="R15:S15"/>
    <mergeCell ref="R16:S16"/>
    <mergeCell ref="R18:S18"/>
    <mergeCell ref="R19:S19"/>
    <mergeCell ref="R20:S20"/>
    <mergeCell ref="R22:S22"/>
    <mergeCell ref="P17:Q17"/>
    <mergeCell ref="R17:S17"/>
    <mergeCell ref="T17:U17"/>
    <mergeCell ref="P21:Q21"/>
    <mergeCell ref="R21:S21"/>
    <mergeCell ref="T21:U21"/>
  </mergeCells>
  <pageMargins left="0.25" right="0.25" top="0.75" bottom="0.75" header="0.3" footer="0.3"/>
  <pageSetup paperSize="9" scale="4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B1:V65"/>
  <sheetViews>
    <sheetView view="pageBreakPreview" topLeftCell="A7" zoomScale="79" zoomScaleNormal="84" zoomScaleSheetLayoutView="79" workbookViewId="0">
      <selection activeCell="L17" sqref="L17"/>
    </sheetView>
  </sheetViews>
  <sheetFormatPr defaultRowHeight="15.75" x14ac:dyDescent="0.25"/>
  <cols>
    <col min="1" max="1" width="2.140625" style="1" customWidth="1"/>
    <col min="2" max="2" width="4" style="1" bestFit="1" customWidth="1"/>
    <col min="3" max="3" width="39.85546875" style="1" customWidth="1"/>
    <col min="4" max="4" width="13.28515625" style="1" customWidth="1"/>
    <col min="5" max="5" width="11.7109375" style="1" customWidth="1"/>
    <col min="6" max="6" width="10.42578125" style="1" customWidth="1"/>
    <col min="7" max="7" width="1.5703125" style="1" hidden="1" customWidth="1"/>
    <col min="8" max="8" width="12.5703125" style="1" hidden="1" customWidth="1"/>
    <col min="9" max="9" width="1.5703125" style="1" customWidth="1"/>
    <col min="10" max="10" width="11.140625" style="1" customWidth="1"/>
    <col min="11" max="11" width="2.28515625" style="1" customWidth="1"/>
    <col min="12" max="12" width="11.28515625" style="1" bestFit="1" customWidth="1"/>
    <col min="13" max="13" width="1.5703125" style="1" customWidth="1"/>
    <col min="14" max="14" width="15.7109375" style="1" customWidth="1"/>
    <col min="15" max="15" width="1.7109375" style="1" customWidth="1"/>
    <col min="16" max="16" width="12" style="1" customWidth="1"/>
    <col min="17" max="17" width="10.28515625" style="1" customWidth="1"/>
    <col min="18" max="18" width="11" style="1" customWidth="1"/>
    <col min="19" max="19" width="10.28515625" style="1" customWidth="1"/>
    <col min="20" max="20" width="14.140625" style="1" customWidth="1"/>
    <col min="21" max="21" width="10.85546875" style="1" customWidth="1"/>
    <col min="22" max="22" width="11" style="1" customWidth="1"/>
    <col min="23" max="16384" width="9.140625" style="1"/>
  </cols>
  <sheetData>
    <row r="1" spans="2:22" ht="16.5" thickBot="1" x14ac:dyDescent="0.3"/>
    <row r="2" spans="2:22" x14ac:dyDescent="0.25">
      <c r="B2" s="63" t="s">
        <v>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5"/>
    </row>
    <row r="3" spans="2:22" x14ac:dyDescent="0.25">
      <c r="B3" s="66" t="str">
        <f>'1'!B3:V3</f>
        <v>с 1.01.2016 по 31.12.2016 г.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/>
    </row>
    <row r="4" spans="2:22" ht="16.5" thickBot="1" x14ac:dyDescent="0.3">
      <c r="B4" s="69" t="s">
        <v>32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1"/>
    </row>
    <row r="5" spans="2:22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2:22" x14ac:dyDescent="0.25">
      <c r="C6" s="29" t="s">
        <v>63</v>
      </c>
    </row>
    <row r="8" spans="2:22" x14ac:dyDescent="0.25">
      <c r="C8" s="1" t="s">
        <v>33</v>
      </c>
      <c r="D8" s="2">
        <v>919.2</v>
      </c>
    </row>
    <row r="9" spans="2:22" x14ac:dyDescent="0.25">
      <c r="C9" s="1" t="s">
        <v>35</v>
      </c>
      <c r="D9" s="3">
        <v>49</v>
      </c>
    </row>
    <row r="10" spans="2:22" x14ac:dyDescent="0.25">
      <c r="C10" s="1" t="s">
        <v>36</v>
      </c>
      <c r="D10" s="3">
        <v>15</v>
      </c>
    </row>
    <row r="12" spans="2:22" ht="63" x14ac:dyDescent="0.25">
      <c r="C12" s="27" t="s">
        <v>1</v>
      </c>
      <c r="D12" s="59" t="str">
        <f>'1'!D12:E12</f>
        <v>Содержание общего имущества дома</v>
      </c>
      <c r="E12" s="60"/>
      <c r="F12" s="27" t="s">
        <v>8</v>
      </c>
      <c r="G12" s="7"/>
      <c r="H12" s="27" t="s">
        <v>9</v>
      </c>
      <c r="I12" s="7"/>
      <c r="J12" s="28" t="str">
        <f>'1'!J12</f>
        <v>Вывоз ТБО (руб./чел.)</v>
      </c>
      <c r="K12" s="7"/>
      <c r="L12" s="28" t="s">
        <v>67</v>
      </c>
      <c r="M12" s="7"/>
      <c r="N12" s="28" t="str">
        <f>'1'!N12</f>
        <v>Обслуживание антены (руб./лиц.сч.)</v>
      </c>
      <c r="O12" s="8"/>
      <c r="P12" s="59" t="str">
        <f>'1'!P12</f>
        <v xml:space="preserve">Хол. вода </v>
      </c>
      <c r="Q12" s="60"/>
      <c r="R12" s="59" t="str">
        <f>'1'!R12</f>
        <v xml:space="preserve">Гор. вода </v>
      </c>
      <c r="S12" s="60"/>
      <c r="T12" s="59" t="str">
        <f>'1'!T12</f>
        <v>Канализация</v>
      </c>
      <c r="U12" s="60"/>
      <c r="V12" s="27" t="s">
        <v>10</v>
      </c>
    </row>
    <row r="13" spans="2:22" x14ac:dyDescent="0.25">
      <c r="C13" s="9" t="s">
        <v>2</v>
      </c>
      <c r="D13" s="57"/>
      <c r="E13" s="58"/>
      <c r="F13" s="11"/>
      <c r="G13" s="7"/>
      <c r="H13" s="11"/>
      <c r="I13" s="7"/>
      <c r="J13" s="11"/>
      <c r="K13" s="7"/>
      <c r="L13" s="11"/>
      <c r="M13" s="7"/>
      <c r="N13" s="11"/>
      <c r="O13" s="7"/>
      <c r="P13" s="57"/>
      <c r="Q13" s="58"/>
      <c r="R13" s="57"/>
      <c r="S13" s="58"/>
      <c r="T13" s="57"/>
      <c r="U13" s="58"/>
      <c r="V13" s="30">
        <f>V14</f>
        <v>-62770.62</v>
      </c>
    </row>
    <row r="14" spans="2:22" ht="47.25" x14ac:dyDescent="0.25">
      <c r="C14" s="10" t="str">
        <f>'1'!C14</f>
        <v>Остаток с предыдущего периода (задолженность(-), переплата (+)) на 01.01.2016г.</v>
      </c>
      <c r="D14" s="57"/>
      <c r="E14" s="58"/>
      <c r="F14" s="11">
        <v>-12667.71</v>
      </c>
      <c r="G14" s="7"/>
      <c r="H14" s="11">
        <v>0</v>
      </c>
      <c r="I14" s="7"/>
      <c r="J14" s="11">
        <v>-2059.56</v>
      </c>
      <c r="K14" s="7"/>
      <c r="L14" s="11">
        <v>-32864.01</v>
      </c>
      <c r="M14" s="7"/>
      <c r="N14" s="11">
        <v>-543.79999999999995</v>
      </c>
      <c r="O14" s="7"/>
      <c r="P14" s="57">
        <v>-2015.22</v>
      </c>
      <c r="Q14" s="58"/>
      <c r="R14" s="57">
        <v>-8569.75</v>
      </c>
      <c r="S14" s="58"/>
      <c r="T14" s="61">
        <v>-4050.57</v>
      </c>
      <c r="U14" s="62"/>
      <c r="V14" s="14">
        <f>F14+H14+J14+L14+N14+P14+Q14+R14+S14+T14+U14</f>
        <v>-62770.62</v>
      </c>
    </row>
    <row r="15" spans="2:22" x14ac:dyDescent="0.25">
      <c r="C15" s="9" t="s">
        <v>3</v>
      </c>
      <c r="D15" s="57"/>
      <c r="E15" s="58"/>
      <c r="F15" s="11">
        <v>169187.76</v>
      </c>
      <c r="G15" s="7"/>
      <c r="H15" s="14"/>
      <c r="I15" s="24"/>
      <c r="J15" s="14">
        <v>27835.52</v>
      </c>
      <c r="K15" s="7"/>
      <c r="L15" s="11">
        <v>442980.48</v>
      </c>
      <c r="M15" s="7"/>
      <c r="N15" s="11">
        <v>8250</v>
      </c>
      <c r="O15" s="7"/>
      <c r="P15" s="61">
        <f>19810.38+273.78</f>
        <v>20084.16</v>
      </c>
      <c r="Q15" s="62"/>
      <c r="R15" s="61">
        <f>79568.38+1134.46</f>
        <v>80702.840000000011</v>
      </c>
      <c r="S15" s="62"/>
      <c r="T15" s="61">
        <f>24606.05+14977.07</f>
        <v>39583.119999999995</v>
      </c>
      <c r="U15" s="62"/>
      <c r="V15" s="11">
        <f>F15+H15+J15+L15+N15+P15+Q15+R15+S15+T15+U15</f>
        <v>788623.88</v>
      </c>
    </row>
    <row r="16" spans="2:22" x14ac:dyDescent="0.25">
      <c r="C16" s="9" t="s">
        <v>4</v>
      </c>
      <c r="D16" s="57"/>
      <c r="E16" s="58"/>
      <c r="F16" s="11">
        <v>170643.93</v>
      </c>
      <c r="G16" s="7"/>
      <c r="H16" s="14"/>
      <c r="I16" s="24"/>
      <c r="J16" s="14">
        <v>27975.83</v>
      </c>
      <c r="K16" s="7"/>
      <c r="L16" s="11">
        <v>446243.1</v>
      </c>
      <c r="M16" s="7"/>
      <c r="N16" s="14">
        <v>8401.18</v>
      </c>
      <c r="O16" s="7"/>
      <c r="P16" s="61">
        <f>21246.92+246.58</f>
        <v>21493.5</v>
      </c>
      <c r="Q16" s="62"/>
      <c r="R16" s="61">
        <f>85930.88+1005.2</f>
        <v>86936.08</v>
      </c>
      <c r="S16" s="62"/>
      <c r="T16" s="61">
        <f>26416.35+16124.72</f>
        <v>42541.07</v>
      </c>
      <c r="U16" s="62"/>
      <c r="V16" s="12">
        <f t="shared" ref="V16:V17" si="0">F16+H16+J16+L16+N16+P16+Q16+R16+S16+T16+U16</f>
        <v>804234.69</v>
      </c>
    </row>
    <row r="17" spans="2:22" ht="31.5" x14ac:dyDescent="0.25">
      <c r="C17" s="10" t="s">
        <v>5</v>
      </c>
      <c r="D17" s="57"/>
      <c r="E17" s="58"/>
      <c r="F17" s="14">
        <f>P44+P50</f>
        <v>185401.67778144003</v>
      </c>
      <c r="G17" s="7"/>
      <c r="H17" s="11">
        <f>P52</f>
        <v>0</v>
      </c>
      <c r="I17" s="7"/>
      <c r="J17" s="14">
        <f>J15+18637.28</f>
        <v>46472.800000000003</v>
      </c>
      <c r="K17" s="7"/>
      <c r="L17" s="11">
        <f>(D8*L20*6)+(D8*L21*6)</f>
        <v>442153.58400000003</v>
      </c>
      <c r="M17" s="7"/>
      <c r="N17" s="14">
        <f>'1'!N17</f>
        <v>11336.326999999999</v>
      </c>
      <c r="O17" s="7"/>
      <c r="P17" s="61">
        <f>P15+Q15+114670.71</f>
        <v>134754.87</v>
      </c>
      <c r="Q17" s="62"/>
      <c r="R17" s="61">
        <f>R15+S15</f>
        <v>80702.840000000011</v>
      </c>
      <c r="S17" s="62"/>
      <c r="T17" s="61">
        <f>T15+U15</f>
        <v>39583.119999999995</v>
      </c>
      <c r="U17" s="62"/>
      <c r="V17" s="12">
        <f t="shared" si="0"/>
        <v>940405.21878144005</v>
      </c>
    </row>
    <row r="18" spans="2:22" ht="31.5" x14ac:dyDescent="0.25">
      <c r="C18" s="10" t="str">
        <f>'1'!C18</f>
        <v>Текущий остаток (задолженность (-), переплата (+)) на 31.12.2016 г.</v>
      </c>
      <c r="D18" s="57"/>
      <c r="E18" s="58"/>
      <c r="F18" s="33">
        <f>F16-F15+F14</f>
        <v>-11211.540000000015</v>
      </c>
      <c r="G18" s="32"/>
      <c r="H18" s="31">
        <f>H16-H15+H14</f>
        <v>0</v>
      </c>
      <c r="I18" s="40"/>
      <c r="J18" s="31">
        <f>J16-J15+J14</f>
        <v>-1919.2499999999986</v>
      </c>
      <c r="K18" s="40"/>
      <c r="L18" s="31">
        <f>L16-L15+L14</f>
        <v>-29601.390000000007</v>
      </c>
      <c r="M18" s="40"/>
      <c r="N18" s="31">
        <f>N16-N15+N14</f>
        <v>-392.61999999999966</v>
      </c>
      <c r="O18" s="40"/>
      <c r="P18" s="55">
        <f t="shared" ref="P18:V18" si="1">P16-P15+P14</f>
        <v>-605.87999999999988</v>
      </c>
      <c r="Q18" s="56"/>
      <c r="R18" s="55">
        <f t="shared" si="1"/>
        <v>-2336.5100000000093</v>
      </c>
      <c r="S18" s="56"/>
      <c r="T18" s="55">
        <f t="shared" si="1"/>
        <v>-1092.6199999999958</v>
      </c>
      <c r="U18" s="56"/>
      <c r="V18" s="31">
        <f t="shared" si="1"/>
        <v>-47159.810000000063</v>
      </c>
    </row>
    <row r="19" spans="2:22" x14ac:dyDescent="0.25">
      <c r="C19" s="9" t="s">
        <v>6</v>
      </c>
      <c r="D19" s="57"/>
      <c r="E19" s="58"/>
      <c r="F19" s="11"/>
      <c r="G19" s="7"/>
      <c r="H19" s="11"/>
      <c r="I19" s="7"/>
      <c r="J19" s="11"/>
      <c r="K19" s="7"/>
      <c r="L19" s="11"/>
      <c r="M19" s="7"/>
      <c r="N19" s="11"/>
      <c r="O19" s="7"/>
      <c r="P19" s="57"/>
      <c r="Q19" s="58"/>
      <c r="R19" s="57"/>
      <c r="S19" s="58"/>
      <c r="T19" s="57"/>
      <c r="U19" s="58"/>
      <c r="V19" s="30">
        <f>F18+H18+J18+L18+N18+P18+Q18+R18+S18+T18+U18</f>
        <v>-47159.810000000027</v>
      </c>
    </row>
    <row r="20" spans="2:22" x14ac:dyDescent="0.25">
      <c r="C20" s="9" t="str">
        <f>'1'!C20</f>
        <v>Тариф (руб/м²), 1-е полугодие</v>
      </c>
      <c r="D20" s="57"/>
      <c r="E20" s="58"/>
      <c r="F20" s="13">
        <f>'1'!F20</f>
        <v>15.31</v>
      </c>
      <c r="G20" s="7"/>
      <c r="H20" s="11">
        <f>'1'!H20</f>
        <v>37.700000000000003</v>
      </c>
      <c r="I20" s="7"/>
      <c r="J20" s="13">
        <f>'1'!J20</f>
        <v>44.32</v>
      </c>
      <c r="K20" s="7"/>
      <c r="L20" s="11">
        <v>39.520000000000003</v>
      </c>
      <c r="M20" s="7"/>
      <c r="N20" s="11">
        <f>'1'!N20</f>
        <v>50</v>
      </c>
      <c r="O20" s="7"/>
      <c r="P20" s="57" t="str">
        <f>'1'!P20</f>
        <v xml:space="preserve">15,02 руб./м3 </v>
      </c>
      <c r="Q20" s="58"/>
      <c r="R20" s="57" t="str">
        <f>'1'!R20</f>
        <v>99,55 руб./м3</v>
      </c>
      <c r="S20" s="58"/>
      <c r="T20" s="57" t="str">
        <f>'1'!T20</f>
        <v>18,66 руб./м3</v>
      </c>
      <c r="U20" s="58"/>
      <c r="V20" s="11"/>
    </row>
    <row r="21" spans="2:22" x14ac:dyDescent="0.25">
      <c r="C21" s="9" t="str">
        <f>'1'!C21</f>
        <v>Тариф (руб/м²), 2-е полугодие</v>
      </c>
      <c r="D21" s="50"/>
      <c r="E21" s="51"/>
      <c r="F21" s="21">
        <f>'1'!F21</f>
        <v>15.31</v>
      </c>
      <c r="G21" s="7"/>
      <c r="H21" s="21"/>
      <c r="I21" s="7"/>
      <c r="J21" s="21">
        <f>'1'!J21</f>
        <v>44.32</v>
      </c>
      <c r="K21" s="7"/>
      <c r="L21" s="21">
        <f>'4'!L21</f>
        <v>40.65</v>
      </c>
      <c r="M21" s="7"/>
      <c r="N21" s="21">
        <f>'1'!N21</f>
        <v>50</v>
      </c>
      <c r="O21" s="7"/>
      <c r="P21" s="57" t="str">
        <f>'1'!P21:Q21</f>
        <v>15,63 руб./м³</v>
      </c>
      <c r="Q21" s="58"/>
      <c r="R21" s="57" t="str">
        <f>'1'!R21:S21</f>
        <v>102,59 руб./м³</v>
      </c>
      <c r="S21" s="58"/>
      <c r="T21" s="57" t="str">
        <f>'1'!T21:U21</f>
        <v>19,41 руб./м³</v>
      </c>
      <c r="U21" s="58"/>
      <c r="V21" s="21"/>
    </row>
    <row r="22" spans="2:22" x14ac:dyDescent="0.25">
      <c r="C22" s="9" t="s">
        <v>44</v>
      </c>
      <c r="D22" s="57"/>
      <c r="E22" s="58"/>
      <c r="F22" s="18">
        <f>N44+N50</f>
        <v>16.808246099999998</v>
      </c>
      <c r="G22" s="7"/>
      <c r="H22" s="11"/>
      <c r="I22" s="7"/>
      <c r="J22" s="11"/>
      <c r="K22" s="7"/>
      <c r="L22" s="11"/>
      <c r="M22" s="7"/>
      <c r="N22" s="11"/>
      <c r="O22" s="7"/>
      <c r="P22" s="57"/>
      <c r="Q22" s="58"/>
      <c r="R22" s="57"/>
      <c r="S22" s="58"/>
      <c r="T22" s="57"/>
      <c r="U22" s="58"/>
      <c r="V22" s="11"/>
    </row>
    <row r="24" spans="2:22" x14ac:dyDescent="0.25">
      <c r="C24" s="5" t="s">
        <v>11</v>
      </c>
    </row>
    <row r="25" spans="2:22" x14ac:dyDescent="0.25">
      <c r="C25" s="1" t="s">
        <v>12</v>
      </c>
      <c r="J25" s="34">
        <f>V19/V15*100</f>
        <v>-5.9800129308790435</v>
      </c>
      <c r="K25" s="35" t="s">
        <v>37</v>
      </c>
    </row>
    <row r="28" spans="2:22" ht="33" customHeight="1" x14ac:dyDescent="0.25">
      <c r="B28" s="27" t="s">
        <v>13</v>
      </c>
      <c r="C28" s="72" t="s">
        <v>14</v>
      </c>
      <c r="D28" s="72"/>
      <c r="E28" s="72"/>
      <c r="F28" s="72"/>
      <c r="G28" s="72"/>
      <c r="H28" s="72"/>
      <c r="I28" s="72"/>
      <c r="J28" s="72"/>
      <c r="K28" s="72"/>
      <c r="L28" s="73" t="s">
        <v>45</v>
      </c>
      <c r="M28" s="73"/>
      <c r="N28" s="73" t="s">
        <v>46</v>
      </c>
      <c r="O28" s="73"/>
      <c r="P28" s="27" t="s">
        <v>28</v>
      </c>
    </row>
    <row r="29" spans="2:22" x14ac:dyDescent="0.25">
      <c r="B29" s="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4"/>
    </row>
    <row r="30" spans="2:22" x14ac:dyDescent="0.25">
      <c r="B30" s="90" t="s">
        <v>7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</row>
    <row r="31" spans="2:22" x14ac:dyDescent="0.25">
      <c r="B31" s="4">
        <v>1</v>
      </c>
      <c r="C31" s="76" t="s">
        <v>15</v>
      </c>
      <c r="D31" s="76"/>
      <c r="E31" s="76"/>
      <c r="F31" s="76"/>
      <c r="G31" s="76"/>
      <c r="H31" s="76"/>
      <c r="I31" s="76"/>
      <c r="J31" s="76"/>
      <c r="K31" s="76"/>
      <c r="L31" s="74">
        <v>919.2</v>
      </c>
      <c r="M31" s="74"/>
      <c r="N31" s="77">
        <f>'1'!N31:O31</f>
        <v>3.5</v>
      </c>
      <c r="O31" s="77"/>
      <c r="P31" s="17">
        <f>L31*N31*12</f>
        <v>38606.400000000001</v>
      </c>
    </row>
    <row r="32" spans="2:22" x14ac:dyDescent="0.25">
      <c r="B32" s="4">
        <v>2</v>
      </c>
      <c r="C32" s="76" t="s">
        <v>34</v>
      </c>
      <c r="D32" s="76"/>
      <c r="E32" s="76"/>
      <c r="F32" s="76"/>
      <c r="G32" s="76"/>
      <c r="H32" s="76"/>
      <c r="I32" s="76"/>
      <c r="J32" s="76"/>
      <c r="K32" s="76"/>
      <c r="L32" s="74">
        <v>919.2</v>
      </c>
      <c r="M32" s="74"/>
      <c r="N32" s="77">
        <f>'1'!N32:O32</f>
        <v>0.98752150000000005</v>
      </c>
      <c r="O32" s="77"/>
      <c r="P32" s="17">
        <f t="shared" ref="P32:P43" si="2">L32*N32*12</f>
        <v>10892.757153600001</v>
      </c>
    </row>
    <row r="33" spans="2:16" x14ac:dyDescent="0.25">
      <c r="B33" s="4">
        <v>3</v>
      </c>
      <c r="C33" s="76" t="s">
        <v>16</v>
      </c>
      <c r="D33" s="76"/>
      <c r="E33" s="76"/>
      <c r="F33" s="76"/>
      <c r="G33" s="76"/>
      <c r="H33" s="76"/>
      <c r="I33" s="76"/>
      <c r="J33" s="76"/>
      <c r="K33" s="76"/>
      <c r="L33" s="74">
        <v>919.2</v>
      </c>
      <c r="M33" s="74"/>
      <c r="N33" s="77">
        <f>'1'!N33:O33</f>
        <v>2.8257476000000001</v>
      </c>
      <c r="O33" s="77"/>
      <c r="P33" s="17">
        <f t="shared" si="2"/>
        <v>31169.126327040001</v>
      </c>
    </row>
    <row r="34" spans="2:16" x14ac:dyDescent="0.25">
      <c r="B34" s="4">
        <v>4</v>
      </c>
      <c r="C34" s="76" t="s">
        <v>17</v>
      </c>
      <c r="D34" s="76"/>
      <c r="E34" s="76"/>
      <c r="F34" s="76"/>
      <c r="G34" s="76"/>
      <c r="H34" s="76"/>
      <c r="I34" s="76"/>
      <c r="J34" s="76"/>
      <c r="K34" s="76"/>
      <c r="L34" s="74">
        <v>919.2</v>
      </c>
      <c r="M34" s="74"/>
      <c r="N34" s="77">
        <f>'1'!N34:O34</f>
        <v>1</v>
      </c>
      <c r="O34" s="77"/>
      <c r="P34" s="17">
        <f t="shared" si="2"/>
        <v>11030.400000000001</v>
      </c>
    </row>
    <row r="35" spans="2:16" x14ac:dyDescent="0.25">
      <c r="B35" s="4">
        <v>5</v>
      </c>
      <c r="C35" s="76" t="s">
        <v>18</v>
      </c>
      <c r="D35" s="76"/>
      <c r="E35" s="76"/>
      <c r="F35" s="76"/>
      <c r="G35" s="76"/>
      <c r="H35" s="76"/>
      <c r="I35" s="76"/>
      <c r="J35" s="76"/>
      <c r="K35" s="76"/>
      <c r="L35" s="74">
        <v>919.2</v>
      </c>
      <c r="M35" s="74"/>
      <c r="N35" s="77">
        <f>'1'!N35:O35</f>
        <v>2</v>
      </c>
      <c r="O35" s="77"/>
      <c r="P35" s="17">
        <f t="shared" si="2"/>
        <v>22060.800000000003</v>
      </c>
    </row>
    <row r="36" spans="2:16" x14ac:dyDescent="0.25">
      <c r="B36" s="4">
        <v>6</v>
      </c>
      <c r="C36" s="76" t="s">
        <v>24</v>
      </c>
      <c r="D36" s="76"/>
      <c r="E36" s="76"/>
      <c r="F36" s="76"/>
      <c r="G36" s="76"/>
      <c r="H36" s="76"/>
      <c r="I36" s="76"/>
      <c r="J36" s="76"/>
      <c r="K36" s="76"/>
      <c r="L36" s="74">
        <v>919.2</v>
      </c>
      <c r="M36" s="74"/>
      <c r="N36" s="77">
        <f>'1'!N36:O36</f>
        <v>3</v>
      </c>
      <c r="O36" s="77"/>
      <c r="P36" s="17">
        <f t="shared" si="2"/>
        <v>33091.200000000004</v>
      </c>
    </row>
    <row r="37" spans="2:16" x14ac:dyDescent="0.25">
      <c r="B37" s="4">
        <v>7</v>
      </c>
      <c r="C37" s="76" t="s">
        <v>19</v>
      </c>
      <c r="D37" s="76"/>
      <c r="E37" s="76"/>
      <c r="F37" s="76"/>
      <c r="G37" s="76"/>
      <c r="H37" s="76"/>
      <c r="I37" s="76"/>
      <c r="J37" s="76"/>
      <c r="K37" s="76"/>
      <c r="L37" s="74">
        <v>919.2</v>
      </c>
      <c r="M37" s="74"/>
      <c r="N37" s="77">
        <f>'1'!N37:O37</f>
        <v>0.5</v>
      </c>
      <c r="O37" s="77"/>
      <c r="P37" s="17">
        <f t="shared" si="2"/>
        <v>5515.2000000000007</v>
      </c>
    </row>
    <row r="38" spans="2:16" x14ac:dyDescent="0.25">
      <c r="B38" s="4">
        <v>8</v>
      </c>
      <c r="C38" s="76" t="s">
        <v>20</v>
      </c>
      <c r="D38" s="76"/>
      <c r="E38" s="76"/>
      <c r="F38" s="76"/>
      <c r="G38" s="76"/>
      <c r="H38" s="76"/>
      <c r="I38" s="76"/>
      <c r="J38" s="76"/>
      <c r="K38" s="76"/>
      <c r="L38" s="74">
        <v>919.2</v>
      </c>
      <c r="M38" s="74"/>
      <c r="N38" s="77">
        <f>'1'!N38:O38</f>
        <v>1.694977</v>
      </c>
      <c r="O38" s="77"/>
      <c r="P38" s="17">
        <f t="shared" si="2"/>
        <v>18696.274300800003</v>
      </c>
    </row>
    <row r="39" spans="2:16" x14ac:dyDescent="0.25">
      <c r="B39" s="4">
        <v>9</v>
      </c>
      <c r="C39" s="76" t="s">
        <v>84</v>
      </c>
      <c r="D39" s="76"/>
      <c r="E39" s="76"/>
      <c r="F39" s="76"/>
      <c r="G39" s="76"/>
      <c r="H39" s="76"/>
      <c r="I39" s="76"/>
      <c r="J39" s="76"/>
      <c r="K39" s="76"/>
      <c r="L39" s="74">
        <v>919.2</v>
      </c>
      <c r="M39" s="74"/>
      <c r="N39" s="77">
        <f>'1'!N39:O39</f>
        <v>0.1</v>
      </c>
      <c r="O39" s="77"/>
      <c r="P39" s="17">
        <f t="shared" si="2"/>
        <v>1103.0400000000002</v>
      </c>
    </row>
    <row r="40" spans="2:16" x14ac:dyDescent="0.25">
      <c r="B40" s="4">
        <v>10</v>
      </c>
      <c r="C40" s="76" t="s">
        <v>21</v>
      </c>
      <c r="D40" s="76"/>
      <c r="E40" s="76"/>
      <c r="F40" s="76"/>
      <c r="G40" s="76"/>
      <c r="H40" s="76"/>
      <c r="I40" s="76"/>
      <c r="J40" s="76"/>
      <c r="K40" s="76"/>
      <c r="L40" s="74">
        <v>919.2</v>
      </c>
      <c r="M40" s="74"/>
      <c r="N40" s="77">
        <f>'1'!N40:O40</f>
        <v>0.2</v>
      </c>
      <c r="O40" s="77"/>
      <c r="P40" s="17">
        <f t="shared" si="2"/>
        <v>2206.0800000000004</v>
      </c>
    </row>
    <row r="41" spans="2:16" x14ac:dyDescent="0.25">
      <c r="B41" s="4">
        <v>11</v>
      </c>
      <c r="C41" s="76" t="s">
        <v>22</v>
      </c>
      <c r="D41" s="76"/>
      <c r="E41" s="76"/>
      <c r="F41" s="76"/>
      <c r="G41" s="76"/>
      <c r="H41" s="76"/>
      <c r="I41" s="76"/>
      <c r="J41" s="76"/>
      <c r="K41" s="76"/>
      <c r="L41" s="74">
        <v>919.2</v>
      </c>
      <c r="M41" s="74"/>
      <c r="N41" s="77">
        <f>'1'!N41:O41</f>
        <v>0.5</v>
      </c>
      <c r="O41" s="77"/>
      <c r="P41" s="17">
        <f t="shared" si="2"/>
        <v>5515.2000000000007</v>
      </c>
    </row>
    <row r="42" spans="2:16" hidden="1" x14ac:dyDescent="0.25">
      <c r="B42" s="4">
        <v>12</v>
      </c>
      <c r="C42" s="76" t="s">
        <v>23</v>
      </c>
      <c r="D42" s="76"/>
      <c r="E42" s="76"/>
      <c r="F42" s="76"/>
      <c r="G42" s="76"/>
      <c r="H42" s="76"/>
      <c r="I42" s="76"/>
      <c r="J42" s="76"/>
      <c r="K42" s="76"/>
      <c r="L42" s="74">
        <v>919.2</v>
      </c>
      <c r="M42" s="74"/>
      <c r="N42" s="77">
        <f>'1'!N42:O42</f>
        <v>0</v>
      </c>
      <c r="O42" s="77"/>
      <c r="P42" s="17">
        <f t="shared" si="2"/>
        <v>0</v>
      </c>
    </row>
    <row r="43" spans="2:16" x14ac:dyDescent="0.25">
      <c r="B43" s="4">
        <v>12</v>
      </c>
      <c r="C43" s="76" t="s">
        <v>25</v>
      </c>
      <c r="D43" s="76"/>
      <c r="E43" s="76"/>
      <c r="F43" s="76"/>
      <c r="G43" s="76"/>
      <c r="H43" s="76"/>
      <c r="I43" s="76"/>
      <c r="J43" s="76"/>
      <c r="K43" s="76"/>
      <c r="L43" s="74">
        <v>919.2</v>
      </c>
      <c r="M43" s="74"/>
      <c r="N43" s="77">
        <f>'1'!N43:O43</f>
        <v>0.5</v>
      </c>
      <c r="O43" s="77"/>
      <c r="P43" s="17">
        <f t="shared" si="2"/>
        <v>5515.2000000000007</v>
      </c>
    </row>
    <row r="44" spans="2:16" x14ac:dyDescent="0.25">
      <c r="B44" s="38"/>
      <c r="C44" s="78" t="s">
        <v>26</v>
      </c>
      <c r="D44" s="78"/>
      <c r="E44" s="78"/>
      <c r="F44" s="78"/>
      <c r="G44" s="78"/>
      <c r="H44" s="78"/>
      <c r="I44" s="78"/>
      <c r="J44" s="78"/>
      <c r="K44" s="78"/>
      <c r="L44" s="79">
        <v>919.2</v>
      </c>
      <c r="M44" s="79"/>
      <c r="N44" s="91">
        <f>SUM(N31:O43)</f>
        <v>16.808246099999998</v>
      </c>
      <c r="O44" s="91"/>
      <c r="P44" s="39">
        <f>SUM(P31:P43)</f>
        <v>185401.67778144003</v>
      </c>
    </row>
    <row r="45" spans="2:16" hidden="1" x14ac:dyDescent="0.25">
      <c r="B45" s="90" t="s">
        <v>27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</row>
    <row r="46" spans="2:16" hidden="1" x14ac:dyDescent="0.25">
      <c r="B46" s="4">
        <v>1</v>
      </c>
      <c r="C46" s="82" t="s">
        <v>73</v>
      </c>
      <c r="D46" s="83"/>
      <c r="E46" s="83"/>
      <c r="F46" s="83"/>
      <c r="G46" s="83"/>
      <c r="H46" s="83"/>
      <c r="I46" s="83"/>
      <c r="J46" s="83"/>
      <c r="K46" s="84"/>
      <c r="L46" s="74">
        <v>919.2</v>
      </c>
      <c r="M46" s="74"/>
      <c r="N46" s="74"/>
      <c r="O46" s="74"/>
      <c r="P46" s="17">
        <f>L46*N46*6</f>
        <v>0</v>
      </c>
    </row>
    <row r="47" spans="2:16" hidden="1" x14ac:dyDescent="0.25">
      <c r="B47" s="4">
        <v>2</v>
      </c>
      <c r="C47" s="82" t="s">
        <v>74</v>
      </c>
      <c r="D47" s="83"/>
      <c r="E47" s="83"/>
      <c r="F47" s="83"/>
      <c r="G47" s="83"/>
      <c r="H47" s="83"/>
      <c r="I47" s="83"/>
      <c r="J47" s="83"/>
      <c r="K47" s="84"/>
      <c r="L47" s="74">
        <v>919.2</v>
      </c>
      <c r="M47" s="74"/>
      <c r="N47" s="74"/>
      <c r="O47" s="74"/>
      <c r="P47" s="17">
        <f>L47*N47*6</f>
        <v>0</v>
      </c>
    </row>
    <row r="48" spans="2:16" hidden="1" x14ac:dyDescent="0.25">
      <c r="B48" s="4">
        <v>3</v>
      </c>
      <c r="C48" s="74"/>
      <c r="D48" s="74"/>
      <c r="E48" s="74"/>
      <c r="F48" s="74"/>
      <c r="G48" s="74"/>
      <c r="H48" s="74"/>
      <c r="I48" s="74"/>
      <c r="J48" s="74"/>
      <c r="K48" s="74"/>
      <c r="L48" s="74">
        <v>919.2</v>
      </c>
      <c r="M48" s="74"/>
      <c r="N48" s="74"/>
      <c r="O48" s="74"/>
      <c r="P48" s="4"/>
    </row>
    <row r="49" spans="2:16" hidden="1" x14ac:dyDescent="0.25">
      <c r="B49" s="4">
        <v>4</v>
      </c>
      <c r="C49" s="74"/>
      <c r="D49" s="74"/>
      <c r="E49" s="74"/>
      <c r="F49" s="74"/>
      <c r="G49" s="74"/>
      <c r="H49" s="74"/>
      <c r="I49" s="74"/>
      <c r="J49" s="74"/>
      <c r="K49" s="74"/>
      <c r="L49" s="74">
        <v>919.2</v>
      </c>
      <c r="M49" s="74"/>
      <c r="N49" s="74"/>
      <c r="O49" s="74"/>
      <c r="P49" s="4"/>
    </row>
    <row r="50" spans="2:16" hidden="1" x14ac:dyDescent="0.25">
      <c r="B50" s="38"/>
      <c r="C50" s="86" t="s">
        <v>29</v>
      </c>
      <c r="D50" s="87"/>
      <c r="E50" s="87"/>
      <c r="F50" s="87"/>
      <c r="G50" s="87"/>
      <c r="H50" s="87"/>
      <c r="I50" s="87"/>
      <c r="J50" s="87"/>
      <c r="K50" s="88"/>
      <c r="L50" s="79">
        <v>919.2</v>
      </c>
      <c r="M50" s="79"/>
      <c r="N50" s="79">
        <f>SUM(N46:O49)</f>
        <v>0</v>
      </c>
      <c r="O50" s="79"/>
      <c r="P50" s="39">
        <f>SUM(P46:P49)</f>
        <v>0</v>
      </c>
    </row>
    <row r="51" spans="2:16" hidden="1" x14ac:dyDescent="0.25">
      <c r="B51" s="90" t="s">
        <v>30</v>
      </c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</row>
    <row r="52" spans="2:16" hidden="1" x14ac:dyDescent="0.25">
      <c r="B52" s="38"/>
      <c r="C52" s="86" t="s">
        <v>31</v>
      </c>
      <c r="D52" s="87"/>
      <c r="E52" s="87"/>
      <c r="F52" s="87"/>
      <c r="G52" s="87"/>
      <c r="H52" s="87"/>
      <c r="I52" s="87"/>
      <c r="J52" s="87"/>
      <c r="K52" s="88"/>
      <c r="L52" s="79">
        <v>919.2</v>
      </c>
      <c r="M52" s="79"/>
      <c r="N52" s="79">
        <v>0</v>
      </c>
      <c r="O52" s="79"/>
      <c r="P52" s="38">
        <v>0</v>
      </c>
    </row>
    <row r="55" spans="2:16" x14ac:dyDescent="0.25">
      <c r="C55" s="1" t="s">
        <v>38</v>
      </c>
    </row>
    <row r="56" spans="2:16" x14ac:dyDescent="0.25">
      <c r="C56" s="1" t="s">
        <v>39</v>
      </c>
    </row>
    <row r="57" spans="2:16" x14ac:dyDescent="0.25">
      <c r="C57" s="4" t="s">
        <v>93</v>
      </c>
      <c r="D57" s="22">
        <f>N44</f>
        <v>16.808246099999998</v>
      </c>
    </row>
    <row r="60" spans="2:16" x14ac:dyDescent="0.25">
      <c r="C60" s="1" t="s">
        <v>40</v>
      </c>
      <c r="D60" s="2"/>
      <c r="E60" s="2"/>
      <c r="F60" s="2"/>
      <c r="G60" s="2"/>
      <c r="J60" s="1" t="s">
        <v>41</v>
      </c>
    </row>
    <row r="63" spans="2:16" ht="24.75" customHeight="1" x14ac:dyDescent="0.25">
      <c r="C63" s="1" t="s">
        <v>42</v>
      </c>
      <c r="D63" s="2"/>
      <c r="E63" s="2"/>
      <c r="F63" s="1" t="s">
        <v>43</v>
      </c>
    </row>
    <row r="64" spans="2:16" ht="25.5" customHeight="1" x14ac:dyDescent="0.25">
      <c r="D64" s="2"/>
      <c r="E64" s="2"/>
      <c r="F64" s="1" t="s">
        <v>43</v>
      </c>
    </row>
    <row r="65" spans="4:6" ht="24.75" customHeight="1" x14ac:dyDescent="0.25">
      <c r="D65" s="2"/>
      <c r="E65" s="2"/>
      <c r="F65" s="1" t="s">
        <v>43</v>
      </c>
    </row>
  </sheetData>
  <mergeCells count="115">
    <mergeCell ref="B51:P51"/>
    <mergeCell ref="C52:K52"/>
    <mergeCell ref="L52:M52"/>
    <mergeCell ref="N52:O52"/>
    <mergeCell ref="C49:K49"/>
    <mergeCell ref="L49:M49"/>
    <mergeCell ref="N49:O49"/>
    <mergeCell ref="C50:K50"/>
    <mergeCell ref="L50:M50"/>
    <mergeCell ref="N50:O50"/>
    <mergeCell ref="B45:P45"/>
    <mergeCell ref="C46:K46"/>
    <mergeCell ref="L46:M46"/>
    <mergeCell ref="N46:O46"/>
    <mergeCell ref="C47:K47"/>
    <mergeCell ref="L47:M47"/>
    <mergeCell ref="N47:O47"/>
    <mergeCell ref="C48:K48"/>
    <mergeCell ref="L48:M48"/>
    <mergeCell ref="N48:O48"/>
    <mergeCell ref="C42:K42"/>
    <mergeCell ref="L42:M42"/>
    <mergeCell ref="N42:O42"/>
    <mergeCell ref="C43:K43"/>
    <mergeCell ref="L43:M43"/>
    <mergeCell ref="N43:O43"/>
    <mergeCell ref="C44:K44"/>
    <mergeCell ref="L44:M44"/>
    <mergeCell ref="N44:O44"/>
    <mergeCell ref="C39:K39"/>
    <mergeCell ref="L39:M39"/>
    <mergeCell ref="N39:O39"/>
    <mergeCell ref="C40:K40"/>
    <mergeCell ref="L40:M40"/>
    <mergeCell ref="N40:O40"/>
    <mergeCell ref="C41:K41"/>
    <mergeCell ref="L41:M41"/>
    <mergeCell ref="N41:O41"/>
    <mergeCell ref="C36:K36"/>
    <mergeCell ref="L36:M36"/>
    <mergeCell ref="N36:O36"/>
    <mergeCell ref="C37:K37"/>
    <mergeCell ref="L37:M37"/>
    <mergeCell ref="N37:O37"/>
    <mergeCell ref="C38:K38"/>
    <mergeCell ref="L38:M38"/>
    <mergeCell ref="N38:O38"/>
    <mergeCell ref="C33:K33"/>
    <mergeCell ref="L33:M33"/>
    <mergeCell ref="N33:O33"/>
    <mergeCell ref="C34:K34"/>
    <mergeCell ref="L34:M34"/>
    <mergeCell ref="N34:O34"/>
    <mergeCell ref="C35:K35"/>
    <mergeCell ref="L35:M35"/>
    <mergeCell ref="N35:O35"/>
    <mergeCell ref="C29:K29"/>
    <mergeCell ref="L29:M29"/>
    <mergeCell ref="N29:O29"/>
    <mergeCell ref="B30:P30"/>
    <mergeCell ref="C31:K31"/>
    <mergeCell ref="L31:M31"/>
    <mergeCell ref="N31:O31"/>
    <mergeCell ref="C32:K32"/>
    <mergeCell ref="L32:M32"/>
    <mergeCell ref="N32:O32"/>
    <mergeCell ref="C28:K28"/>
    <mergeCell ref="L28:M28"/>
    <mergeCell ref="N28:O28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2:E22"/>
    <mergeCell ref="B2:V2"/>
    <mergeCell ref="B3:V3"/>
    <mergeCell ref="B4:V4"/>
    <mergeCell ref="P12:Q12"/>
    <mergeCell ref="P13:Q13"/>
    <mergeCell ref="P14:Q14"/>
    <mergeCell ref="P15:Q15"/>
    <mergeCell ref="P16:Q16"/>
    <mergeCell ref="T12:U12"/>
    <mergeCell ref="T13:U13"/>
    <mergeCell ref="T14:U14"/>
    <mergeCell ref="T15:U15"/>
    <mergeCell ref="T16:U16"/>
    <mergeCell ref="T18:U18"/>
    <mergeCell ref="T19:U19"/>
    <mergeCell ref="T20:U20"/>
    <mergeCell ref="T22:U22"/>
    <mergeCell ref="P18:Q18"/>
    <mergeCell ref="P19:Q19"/>
    <mergeCell ref="P20:Q20"/>
    <mergeCell ref="P22:Q22"/>
    <mergeCell ref="R12:S12"/>
    <mergeCell ref="R13:S13"/>
    <mergeCell ref="R14:S14"/>
    <mergeCell ref="R15:S15"/>
    <mergeCell ref="R16:S16"/>
    <mergeCell ref="R18:S18"/>
    <mergeCell ref="R19:S19"/>
    <mergeCell ref="R20:S20"/>
    <mergeCell ref="R22:S22"/>
    <mergeCell ref="P17:Q17"/>
    <mergeCell ref="R17:S17"/>
    <mergeCell ref="T17:U17"/>
    <mergeCell ref="P21:Q21"/>
    <mergeCell ref="R21:S21"/>
    <mergeCell ref="T21:U21"/>
  </mergeCells>
  <pageMargins left="0.25" right="0.25" top="0.75" bottom="0.75" header="0.3" footer="0.3"/>
  <pageSetup paperSize="9" scale="4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B1:V65"/>
  <sheetViews>
    <sheetView view="pageBreakPreview" topLeftCell="A13" zoomScale="79" zoomScaleNormal="84" zoomScaleSheetLayoutView="79" workbookViewId="0">
      <selection activeCell="L17" sqref="L17"/>
    </sheetView>
  </sheetViews>
  <sheetFormatPr defaultRowHeight="15.75" x14ac:dyDescent="0.25"/>
  <cols>
    <col min="1" max="1" width="3" style="1" customWidth="1"/>
    <col min="2" max="2" width="4" style="1" bestFit="1" customWidth="1"/>
    <col min="3" max="3" width="39" style="1" customWidth="1"/>
    <col min="4" max="4" width="13.28515625" style="1" customWidth="1"/>
    <col min="5" max="5" width="11.7109375" style="1" customWidth="1"/>
    <col min="6" max="6" width="10.85546875" style="1" customWidth="1"/>
    <col min="7" max="7" width="1.5703125" style="1" hidden="1" customWidth="1"/>
    <col min="8" max="8" width="12.5703125" style="1" hidden="1" customWidth="1"/>
    <col min="9" max="9" width="1.5703125" style="1" customWidth="1"/>
    <col min="10" max="10" width="11.140625" style="1" customWidth="1"/>
    <col min="11" max="11" width="2.28515625" style="1" customWidth="1"/>
    <col min="12" max="12" width="12.85546875" style="1" customWidth="1"/>
    <col min="13" max="13" width="1.5703125" style="1" customWidth="1"/>
    <col min="14" max="14" width="15.7109375" style="1" customWidth="1"/>
    <col min="15" max="15" width="1.7109375" style="1" customWidth="1"/>
    <col min="16" max="16" width="12" style="1" customWidth="1"/>
    <col min="17" max="17" width="10.28515625" style="1" customWidth="1"/>
    <col min="18" max="18" width="11.140625" style="1" customWidth="1"/>
    <col min="19" max="19" width="10.28515625" style="1" customWidth="1"/>
    <col min="20" max="20" width="14.5703125" style="1" customWidth="1"/>
    <col min="21" max="21" width="10.85546875" style="1" customWidth="1"/>
    <col min="22" max="22" width="11" style="1" customWidth="1"/>
    <col min="23" max="16384" width="9.140625" style="1"/>
  </cols>
  <sheetData>
    <row r="1" spans="2:22" ht="16.5" thickBot="1" x14ac:dyDescent="0.3"/>
    <row r="2" spans="2:22" x14ac:dyDescent="0.25">
      <c r="B2" s="63" t="s">
        <v>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5"/>
    </row>
    <row r="3" spans="2:22" x14ac:dyDescent="0.25">
      <c r="B3" s="66" t="str">
        <f>'1'!B3:V3</f>
        <v>с 1.01.2016 по 31.12.2016 г.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/>
    </row>
    <row r="4" spans="2:22" ht="16.5" thickBot="1" x14ac:dyDescent="0.3">
      <c r="B4" s="69" t="s">
        <v>32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1"/>
    </row>
    <row r="5" spans="2:22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2:22" x14ac:dyDescent="0.25">
      <c r="C6" s="29" t="s">
        <v>64</v>
      </c>
    </row>
    <row r="8" spans="2:22" x14ac:dyDescent="0.25">
      <c r="C8" s="1" t="s">
        <v>33</v>
      </c>
      <c r="D8" s="2">
        <v>929</v>
      </c>
    </row>
    <row r="9" spans="2:22" x14ac:dyDescent="0.25">
      <c r="C9" s="1" t="s">
        <v>35</v>
      </c>
      <c r="D9" s="3">
        <v>49</v>
      </c>
    </row>
    <row r="10" spans="2:22" x14ac:dyDescent="0.25">
      <c r="C10" s="1" t="s">
        <v>36</v>
      </c>
      <c r="D10" s="3">
        <v>20</v>
      </c>
    </row>
    <row r="12" spans="2:22" ht="63" x14ac:dyDescent="0.25">
      <c r="C12" s="27" t="s">
        <v>1</v>
      </c>
      <c r="D12" s="59" t="str">
        <f>'1'!D12:E12</f>
        <v>Содержание общего имущества дома</v>
      </c>
      <c r="E12" s="60"/>
      <c r="F12" s="27" t="s">
        <v>8</v>
      </c>
      <c r="G12" s="7"/>
      <c r="H12" s="27" t="s">
        <v>9</v>
      </c>
      <c r="I12" s="7"/>
      <c r="J12" s="28" t="str">
        <f>'1'!J12</f>
        <v>Вывоз ТБО (руб./чел.)</v>
      </c>
      <c r="K12" s="7"/>
      <c r="L12" s="28" t="s">
        <v>67</v>
      </c>
      <c r="M12" s="7"/>
      <c r="N12" s="28" t="str">
        <f>'1'!N12</f>
        <v>Обслуживание антены (руб./лиц.сч.)</v>
      </c>
      <c r="O12" s="8"/>
      <c r="P12" s="59" t="str">
        <f>'1'!P12</f>
        <v xml:space="preserve">Хол. вода </v>
      </c>
      <c r="Q12" s="60"/>
      <c r="R12" s="59" t="str">
        <f>'1'!R12</f>
        <v xml:space="preserve">Гор. вода </v>
      </c>
      <c r="S12" s="60"/>
      <c r="T12" s="59" t="str">
        <f>'1'!T12</f>
        <v>Канализация</v>
      </c>
      <c r="U12" s="60"/>
      <c r="V12" s="27" t="s">
        <v>10</v>
      </c>
    </row>
    <row r="13" spans="2:22" x14ac:dyDescent="0.25">
      <c r="C13" s="9" t="s">
        <v>2</v>
      </c>
      <c r="D13" s="57"/>
      <c r="E13" s="58"/>
      <c r="F13" s="11"/>
      <c r="G13" s="7"/>
      <c r="H13" s="11"/>
      <c r="I13" s="7"/>
      <c r="J13" s="11"/>
      <c r="K13" s="7"/>
      <c r="L13" s="11"/>
      <c r="M13" s="7"/>
      <c r="N13" s="11"/>
      <c r="O13" s="7"/>
      <c r="P13" s="57"/>
      <c r="Q13" s="58"/>
      <c r="R13" s="57"/>
      <c r="S13" s="58"/>
      <c r="T13" s="57"/>
      <c r="U13" s="58"/>
      <c r="V13" s="27">
        <f>V14</f>
        <v>-124089.57999999999</v>
      </c>
    </row>
    <row r="14" spans="2:22" ht="47.25" x14ac:dyDescent="0.25">
      <c r="C14" s="10" t="str">
        <f>'1'!C14</f>
        <v>Остаток с предыдущего периода (задолженность(-), переплата (+)) на 01.01.2016г.</v>
      </c>
      <c r="D14" s="57"/>
      <c r="E14" s="58"/>
      <c r="F14" s="11">
        <v>-23701.24</v>
      </c>
      <c r="G14" s="7"/>
      <c r="H14" s="11"/>
      <c r="I14" s="7"/>
      <c r="J14" s="11">
        <v>-4026.33</v>
      </c>
      <c r="K14" s="7"/>
      <c r="L14" s="11">
        <v>-60894.85</v>
      </c>
      <c r="M14" s="7"/>
      <c r="N14" s="11">
        <v>-1710.97</v>
      </c>
      <c r="O14" s="7"/>
      <c r="P14" s="57">
        <v>-2794.43</v>
      </c>
      <c r="Q14" s="58"/>
      <c r="R14" s="57">
        <v>-23052.080000000002</v>
      </c>
      <c r="S14" s="58"/>
      <c r="T14" s="57">
        <v>-7909.68</v>
      </c>
      <c r="U14" s="58"/>
      <c r="V14" s="21">
        <f>F14+H14+J14+L14+N14+P14+Q14+R14+S14+T14+U14</f>
        <v>-124089.57999999999</v>
      </c>
    </row>
    <row r="15" spans="2:22" x14ac:dyDescent="0.25">
      <c r="C15" s="9" t="s">
        <v>3</v>
      </c>
      <c r="D15" s="57"/>
      <c r="E15" s="58"/>
      <c r="F15" s="11">
        <v>171279.14</v>
      </c>
      <c r="G15" s="7"/>
      <c r="H15" s="14"/>
      <c r="I15" s="7"/>
      <c r="J15" s="14">
        <v>25707.62</v>
      </c>
      <c r="K15" s="7"/>
      <c r="L15" s="11">
        <v>448454.3</v>
      </c>
      <c r="M15" s="7"/>
      <c r="N15" s="11">
        <v>12000</v>
      </c>
      <c r="O15" s="7"/>
      <c r="P15" s="61">
        <f>19349.65+489.54</f>
        <v>19839.190000000002</v>
      </c>
      <c r="Q15" s="62"/>
      <c r="R15" s="61">
        <f>101675.38+2126.6</f>
        <v>103801.98000000001</v>
      </c>
      <c r="S15" s="62"/>
      <c r="T15" s="61">
        <f>24034.61+19139.85</f>
        <v>43174.46</v>
      </c>
      <c r="U15" s="62"/>
      <c r="V15" s="11">
        <f>F15+H15+J15+L15+N15+P15+Q15+R15+S15+T15+U15</f>
        <v>824256.69</v>
      </c>
    </row>
    <row r="16" spans="2:22" x14ac:dyDescent="0.25">
      <c r="C16" s="9" t="s">
        <v>4</v>
      </c>
      <c r="D16" s="57"/>
      <c r="E16" s="58"/>
      <c r="F16" s="11">
        <f>178202.7+237.92</f>
        <v>178440.62000000002</v>
      </c>
      <c r="G16" s="7"/>
      <c r="H16" s="14"/>
      <c r="I16" s="7"/>
      <c r="J16" s="14">
        <v>27956.33</v>
      </c>
      <c r="K16" s="7"/>
      <c r="L16" s="11">
        <v>465513.74</v>
      </c>
      <c r="M16" s="7"/>
      <c r="N16" s="14">
        <v>12576.94</v>
      </c>
      <c r="O16" s="7"/>
      <c r="P16" s="61">
        <f>20837.59+205.15</f>
        <v>21042.74</v>
      </c>
      <c r="Q16" s="62"/>
      <c r="R16" s="61">
        <f>117169.33+875.02</f>
        <v>118044.35</v>
      </c>
      <c r="S16" s="62"/>
      <c r="T16" s="61">
        <f>26271.41+21834.67</f>
        <v>48106.080000000002</v>
      </c>
      <c r="U16" s="62"/>
      <c r="V16" s="12">
        <f t="shared" ref="V16:V17" si="0">F16+H16+J16+L16+N16+P16+Q16+R16+S16+T16+U16</f>
        <v>871680.79999999981</v>
      </c>
    </row>
    <row r="17" spans="2:22" ht="31.5" x14ac:dyDescent="0.25">
      <c r="C17" s="10" t="s">
        <v>5</v>
      </c>
      <c r="D17" s="57"/>
      <c r="E17" s="58"/>
      <c r="F17" s="14">
        <f>P44+P50</f>
        <v>187378.32752279998</v>
      </c>
      <c r="G17" s="7"/>
      <c r="H17" s="11">
        <f>P52</f>
        <v>0</v>
      </c>
      <c r="I17" s="7"/>
      <c r="J17" s="14">
        <f>J15+18637.28</f>
        <v>44344.899999999994</v>
      </c>
      <c r="K17" s="7"/>
      <c r="L17" s="11">
        <f>(D8*L20*6)+(D8*L21*6)</f>
        <v>446867.57999999996</v>
      </c>
      <c r="M17" s="7"/>
      <c r="N17" s="14">
        <f>'1'!N17</f>
        <v>11336.326999999999</v>
      </c>
      <c r="O17" s="7"/>
      <c r="P17" s="61">
        <f>P15+Q15+114670.71</f>
        <v>134509.90000000002</v>
      </c>
      <c r="Q17" s="62"/>
      <c r="R17" s="61">
        <f>R15+S15</f>
        <v>103801.98000000001</v>
      </c>
      <c r="S17" s="62"/>
      <c r="T17" s="61">
        <f>T15+U15</f>
        <v>43174.46</v>
      </c>
      <c r="U17" s="62"/>
      <c r="V17" s="12">
        <f t="shared" si="0"/>
        <v>971413.47452279995</v>
      </c>
    </row>
    <row r="18" spans="2:22" ht="31.5" x14ac:dyDescent="0.25">
      <c r="C18" s="10" t="str">
        <f>'1'!C18</f>
        <v>Текущий остаток (задолженность (-), переплата (+)) на 31.12.2016 г.</v>
      </c>
      <c r="D18" s="57"/>
      <c r="E18" s="58"/>
      <c r="F18" s="33">
        <f>F16-F15+F14</f>
        <v>-16539.759999999991</v>
      </c>
      <c r="G18" s="32"/>
      <c r="H18" s="31">
        <f>H16-H15+H14</f>
        <v>0</v>
      </c>
      <c r="I18" s="40"/>
      <c r="J18" s="31">
        <f>J16-J15+J14</f>
        <v>-1777.6199999999972</v>
      </c>
      <c r="K18" s="40"/>
      <c r="L18" s="31">
        <f>L16-L15+L14</f>
        <v>-43835.409999999996</v>
      </c>
      <c r="M18" s="40"/>
      <c r="N18" s="31">
        <f>N16-N15+N14</f>
        <v>-1134.0299999999995</v>
      </c>
      <c r="O18" s="40"/>
      <c r="P18" s="55">
        <f t="shared" ref="P18:V18" si="1">P16-P15+P14</f>
        <v>-1590.8800000000006</v>
      </c>
      <c r="Q18" s="56"/>
      <c r="R18" s="55">
        <f t="shared" si="1"/>
        <v>-8809.7100000000064</v>
      </c>
      <c r="S18" s="56"/>
      <c r="T18" s="55">
        <f t="shared" si="1"/>
        <v>-2978.0599999999977</v>
      </c>
      <c r="U18" s="56"/>
      <c r="V18" s="33">
        <f t="shared" si="1"/>
        <v>-76665.470000000118</v>
      </c>
    </row>
    <row r="19" spans="2:22" x14ac:dyDescent="0.25">
      <c r="C19" s="9" t="s">
        <v>6</v>
      </c>
      <c r="D19" s="57"/>
      <c r="E19" s="58"/>
      <c r="F19" s="11"/>
      <c r="G19" s="7"/>
      <c r="H19" s="11"/>
      <c r="I19" s="7"/>
      <c r="J19" s="11"/>
      <c r="K19" s="7"/>
      <c r="L19" s="11"/>
      <c r="M19" s="7"/>
      <c r="N19" s="11"/>
      <c r="O19" s="7"/>
      <c r="P19" s="57"/>
      <c r="Q19" s="58"/>
      <c r="R19" s="57"/>
      <c r="S19" s="58"/>
      <c r="T19" s="57"/>
      <c r="U19" s="58"/>
      <c r="V19" s="41">
        <f>F18+H18+J18+L18+N18+P18+Q18+R18+S18+T18+U18</f>
        <v>-76665.469999999987</v>
      </c>
    </row>
    <row r="20" spans="2:22" x14ac:dyDescent="0.25">
      <c r="C20" s="9" t="str">
        <f>'1'!C20</f>
        <v>Тариф (руб/м²), 1-е полугодие</v>
      </c>
      <c r="D20" s="57"/>
      <c r="E20" s="58"/>
      <c r="F20" s="13">
        <f>'1'!F20</f>
        <v>15.31</v>
      </c>
      <c r="G20" s="7"/>
      <c r="H20" s="11">
        <f>'1'!H20</f>
        <v>37.700000000000003</v>
      </c>
      <c r="I20" s="7"/>
      <c r="J20" s="13">
        <f>'1'!J20</f>
        <v>44.32</v>
      </c>
      <c r="K20" s="7"/>
      <c r="L20" s="11">
        <v>39.520000000000003</v>
      </c>
      <c r="M20" s="7"/>
      <c r="N20" s="11">
        <f>'1'!N20</f>
        <v>50</v>
      </c>
      <c r="O20" s="7"/>
      <c r="P20" s="57" t="str">
        <f>'1'!P20</f>
        <v xml:space="preserve">15,02 руб./м3 </v>
      </c>
      <c r="Q20" s="58"/>
      <c r="R20" s="57" t="str">
        <f>'1'!R20</f>
        <v>99,55 руб./м3</v>
      </c>
      <c r="S20" s="58"/>
      <c r="T20" s="57" t="str">
        <f>'1'!T20</f>
        <v>18,66 руб./м3</v>
      </c>
      <c r="U20" s="58"/>
      <c r="V20" s="11"/>
    </row>
    <row r="21" spans="2:22" x14ac:dyDescent="0.25">
      <c r="C21" s="9" t="str">
        <f>'1'!C21</f>
        <v>Тариф (руб/м²), 2-е полугодие</v>
      </c>
      <c r="D21" s="50"/>
      <c r="E21" s="51"/>
      <c r="F21" s="21">
        <f>'1'!F21</f>
        <v>15.31</v>
      </c>
      <c r="G21" s="7"/>
      <c r="H21" s="21"/>
      <c r="I21" s="7"/>
      <c r="J21" s="21">
        <f>'1'!J21</f>
        <v>44.32</v>
      </c>
      <c r="K21" s="7"/>
      <c r="L21" s="21">
        <f>'4'!L21</f>
        <v>40.65</v>
      </c>
      <c r="M21" s="7"/>
      <c r="N21" s="21">
        <f>'1'!N21</f>
        <v>50</v>
      </c>
      <c r="O21" s="7"/>
      <c r="P21" s="57" t="str">
        <f>'1'!P21:Q21</f>
        <v>15,63 руб./м³</v>
      </c>
      <c r="Q21" s="58"/>
      <c r="R21" s="57" t="str">
        <f>'1'!R21:S21</f>
        <v>102,59 руб./м³</v>
      </c>
      <c r="S21" s="58"/>
      <c r="T21" s="57" t="str">
        <f>'1'!T21:U21</f>
        <v>19,41 руб./м³</v>
      </c>
      <c r="U21" s="58"/>
      <c r="V21" s="21"/>
    </row>
    <row r="22" spans="2:22" x14ac:dyDescent="0.25">
      <c r="C22" s="9" t="s">
        <v>44</v>
      </c>
      <c r="D22" s="57"/>
      <c r="E22" s="58"/>
      <c r="F22" s="18">
        <f>N44+N50</f>
        <v>16.808246099999998</v>
      </c>
      <c r="G22" s="7"/>
      <c r="H22" s="11"/>
      <c r="I22" s="7"/>
      <c r="J22" s="11"/>
      <c r="K22" s="7"/>
      <c r="L22" s="11"/>
      <c r="M22" s="7"/>
      <c r="N22" s="11"/>
      <c r="O22" s="7"/>
      <c r="P22" s="57"/>
      <c r="Q22" s="58"/>
      <c r="R22" s="57"/>
      <c r="S22" s="58"/>
      <c r="T22" s="57"/>
      <c r="U22" s="58"/>
      <c r="V22" s="11"/>
    </row>
    <row r="24" spans="2:22" x14ac:dyDescent="0.25">
      <c r="C24" s="5" t="s">
        <v>11</v>
      </c>
    </row>
    <row r="25" spans="2:22" x14ac:dyDescent="0.25">
      <c r="C25" s="1" t="s">
        <v>12</v>
      </c>
      <c r="J25" s="34">
        <f>V19/V15*100</f>
        <v>-9.3011644224567949</v>
      </c>
      <c r="K25" s="35" t="s">
        <v>37</v>
      </c>
    </row>
    <row r="28" spans="2:22" ht="33" customHeight="1" x14ac:dyDescent="0.25">
      <c r="B28" s="27" t="s">
        <v>13</v>
      </c>
      <c r="C28" s="72" t="s">
        <v>14</v>
      </c>
      <c r="D28" s="72"/>
      <c r="E28" s="72"/>
      <c r="F28" s="72"/>
      <c r="G28" s="72"/>
      <c r="H28" s="72"/>
      <c r="I28" s="72"/>
      <c r="J28" s="72"/>
      <c r="K28" s="72"/>
      <c r="L28" s="73" t="s">
        <v>45</v>
      </c>
      <c r="M28" s="73"/>
      <c r="N28" s="73" t="s">
        <v>46</v>
      </c>
      <c r="O28" s="73"/>
      <c r="P28" s="27" t="s">
        <v>28</v>
      </c>
    </row>
    <row r="29" spans="2:22" x14ac:dyDescent="0.25">
      <c r="B29" s="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4"/>
    </row>
    <row r="30" spans="2:22" x14ac:dyDescent="0.25">
      <c r="B30" s="90" t="s">
        <v>7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</row>
    <row r="31" spans="2:22" x14ac:dyDescent="0.25">
      <c r="B31" s="4">
        <v>1</v>
      </c>
      <c r="C31" s="76" t="s">
        <v>15</v>
      </c>
      <c r="D31" s="76"/>
      <c r="E31" s="76"/>
      <c r="F31" s="76"/>
      <c r="G31" s="76"/>
      <c r="H31" s="76"/>
      <c r="I31" s="76"/>
      <c r="J31" s="76"/>
      <c r="K31" s="76"/>
      <c r="L31" s="74">
        <v>929</v>
      </c>
      <c r="M31" s="74"/>
      <c r="N31" s="77">
        <f>'1'!N31:O31</f>
        <v>3.5</v>
      </c>
      <c r="O31" s="77"/>
      <c r="P31" s="17">
        <f>L31*N31*12</f>
        <v>39018</v>
      </c>
    </row>
    <row r="32" spans="2:22" x14ac:dyDescent="0.25">
      <c r="B32" s="4">
        <v>2</v>
      </c>
      <c r="C32" s="76" t="s">
        <v>34</v>
      </c>
      <c r="D32" s="76"/>
      <c r="E32" s="76"/>
      <c r="F32" s="76"/>
      <c r="G32" s="76"/>
      <c r="H32" s="76"/>
      <c r="I32" s="76"/>
      <c r="J32" s="76"/>
      <c r="K32" s="76"/>
      <c r="L32" s="74">
        <v>929</v>
      </c>
      <c r="M32" s="74"/>
      <c r="N32" s="77">
        <f>'1'!N32:O32</f>
        <v>0.98752150000000005</v>
      </c>
      <c r="O32" s="77"/>
      <c r="P32" s="17">
        <f t="shared" ref="P32:P43" si="2">L32*N32*12</f>
        <v>11008.889682000001</v>
      </c>
    </row>
    <row r="33" spans="2:16" x14ac:dyDescent="0.25">
      <c r="B33" s="4">
        <v>3</v>
      </c>
      <c r="C33" s="76" t="s">
        <v>16</v>
      </c>
      <c r="D33" s="76"/>
      <c r="E33" s="76"/>
      <c r="F33" s="76"/>
      <c r="G33" s="76"/>
      <c r="H33" s="76"/>
      <c r="I33" s="76"/>
      <c r="J33" s="76"/>
      <c r="K33" s="76"/>
      <c r="L33" s="74">
        <v>929</v>
      </c>
      <c r="M33" s="74"/>
      <c r="N33" s="77">
        <f>'1'!N33:O33</f>
        <v>2.8257476000000001</v>
      </c>
      <c r="O33" s="77"/>
      <c r="P33" s="17">
        <f t="shared" si="2"/>
        <v>31501.434244800002</v>
      </c>
    </row>
    <row r="34" spans="2:16" x14ac:dyDescent="0.25">
      <c r="B34" s="4">
        <v>4</v>
      </c>
      <c r="C34" s="76" t="s">
        <v>17</v>
      </c>
      <c r="D34" s="76"/>
      <c r="E34" s="76"/>
      <c r="F34" s="76"/>
      <c r="G34" s="76"/>
      <c r="H34" s="76"/>
      <c r="I34" s="76"/>
      <c r="J34" s="76"/>
      <c r="K34" s="76"/>
      <c r="L34" s="74">
        <v>929</v>
      </c>
      <c r="M34" s="74"/>
      <c r="N34" s="77">
        <f>'1'!N34:O34</f>
        <v>1</v>
      </c>
      <c r="O34" s="77"/>
      <c r="P34" s="17">
        <f t="shared" si="2"/>
        <v>11148</v>
      </c>
    </row>
    <row r="35" spans="2:16" x14ac:dyDescent="0.25">
      <c r="B35" s="4">
        <v>5</v>
      </c>
      <c r="C35" s="76" t="s">
        <v>18</v>
      </c>
      <c r="D35" s="76"/>
      <c r="E35" s="76"/>
      <c r="F35" s="76"/>
      <c r="G35" s="76"/>
      <c r="H35" s="76"/>
      <c r="I35" s="76"/>
      <c r="J35" s="76"/>
      <c r="K35" s="76"/>
      <c r="L35" s="74">
        <v>929</v>
      </c>
      <c r="M35" s="74"/>
      <c r="N35" s="77">
        <f>'1'!N35:O35</f>
        <v>2</v>
      </c>
      <c r="O35" s="77"/>
      <c r="P35" s="17">
        <f t="shared" si="2"/>
        <v>22296</v>
      </c>
    </row>
    <row r="36" spans="2:16" x14ac:dyDescent="0.25">
      <c r="B36" s="4">
        <v>6</v>
      </c>
      <c r="C36" s="76" t="s">
        <v>24</v>
      </c>
      <c r="D36" s="76"/>
      <c r="E36" s="76"/>
      <c r="F36" s="76"/>
      <c r="G36" s="76"/>
      <c r="H36" s="76"/>
      <c r="I36" s="76"/>
      <c r="J36" s="76"/>
      <c r="K36" s="76"/>
      <c r="L36" s="74">
        <v>929</v>
      </c>
      <c r="M36" s="74"/>
      <c r="N36" s="77">
        <f>'1'!N36:O36</f>
        <v>3</v>
      </c>
      <c r="O36" s="77"/>
      <c r="P36" s="17">
        <f t="shared" si="2"/>
        <v>33444</v>
      </c>
    </row>
    <row r="37" spans="2:16" x14ac:dyDescent="0.25">
      <c r="B37" s="4">
        <v>7</v>
      </c>
      <c r="C37" s="76" t="s">
        <v>19</v>
      </c>
      <c r="D37" s="76"/>
      <c r="E37" s="76"/>
      <c r="F37" s="76"/>
      <c r="G37" s="76"/>
      <c r="H37" s="76"/>
      <c r="I37" s="76"/>
      <c r="J37" s="76"/>
      <c r="K37" s="76"/>
      <c r="L37" s="74">
        <v>929</v>
      </c>
      <c r="M37" s="74"/>
      <c r="N37" s="77">
        <f>'1'!N37:O37</f>
        <v>0.5</v>
      </c>
      <c r="O37" s="77"/>
      <c r="P37" s="17">
        <f t="shared" si="2"/>
        <v>5574</v>
      </c>
    </row>
    <row r="38" spans="2:16" x14ac:dyDescent="0.25">
      <c r="B38" s="4">
        <v>8</v>
      </c>
      <c r="C38" s="76" t="s">
        <v>20</v>
      </c>
      <c r="D38" s="76"/>
      <c r="E38" s="76"/>
      <c r="F38" s="76"/>
      <c r="G38" s="76"/>
      <c r="H38" s="76"/>
      <c r="I38" s="76"/>
      <c r="J38" s="76"/>
      <c r="K38" s="76"/>
      <c r="L38" s="74">
        <v>929</v>
      </c>
      <c r="M38" s="74"/>
      <c r="N38" s="77">
        <f>'1'!N38:O38</f>
        <v>1.694977</v>
      </c>
      <c r="O38" s="77"/>
      <c r="P38" s="17">
        <f t="shared" si="2"/>
        <v>18895.603596000001</v>
      </c>
    </row>
    <row r="39" spans="2:16" x14ac:dyDescent="0.25">
      <c r="B39" s="4">
        <v>9</v>
      </c>
      <c r="C39" s="76" t="s">
        <v>84</v>
      </c>
      <c r="D39" s="76"/>
      <c r="E39" s="76"/>
      <c r="F39" s="76"/>
      <c r="G39" s="76"/>
      <c r="H39" s="76"/>
      <c r="I39" s="76"/>
      <c r="J39" s="76"/>
      <c r="K39" s="76"/>
      <c r="L39" s="74">
        <v>929</v>
      </c>
      <c r="M39" s="74"/>
      <c r="N39" s="77">
        <f>'1'!N39:O39</f>
        <v>0.1</v>
      </c>
      <c r="O39" s="77"/>
      <c r="P39" s="17">
        <f t="shared" si="2"/>
        <v>1114.8000000000002</v>
      </c>
    </row>
    <row r="40" spans="2:16" x14ac:dyDescent="0.25">
      <c r="B40" s="4">
        <v>10</v>
      </c>
      <c r="C40" s="76" t="s">
        <v>21</v>
      </c>
      <c r="D40" s="76"/>
      <c r="E40" s="76"/>
      <c r="F40" s="76"/>
      <c r="G40" s="76"/>
      <c r="H40" s="76"/>
      <c r="I40" s="76"/>
      <c r="J40" s="76"/>
      <c r="K40" s="76"/>
      <c r="L40" s="74">
        <v>929</v>
      </c>
      <c r="M40" s="74"/>
      <c r="N40" s="77">
        <f>'1'!N40:O40</f>
        <v>0.2</v>
      </c>
      <c r="O40" s="77"/>
      <c r="P40" s="17">
        <f t="shared" si="2"/>
        <v>2229.6000000000004</v>
      </c>
    </row>
    <row r="41" spans="2:16" x14ac:dyDescent="0.25">
      <c r="B41" s="4">
        <v>11</v>
      </c>
      <c r="C41" s="76" t="s">
        <v>22</v>
      </c>
      <c r="D41" s="76"/>
      <c r="E41" s="76"/>
      <c r="F41" s="76"/>
      <c r="G41" s="76"/>
      <c r="H41" s="76"/>
      <c r="I41" s="76"/>
      <c r="J41" s="76"/>
      <c r="K41" s="76"/>
      <c r="L41" s="74">
        <v>929</v>
      </c>
      <c r="M41" s="74"/>
      <c r="N41" s="77">
        <f>'1'!N41:O41</f>
        <v>0.5</v>
      </c>
      <c r="O41" s="77"/>
      <c r="P41" s="17">
        <f t="shared" si="2"/>
        <v>5574</v>
      </c>
    </row>
    <row r="42" spans="2:16" hidden="1" x14ac:dyDescent="0.25">
      <c r="B42" s="4">
        <v>12</v>
      </c>
      <c r="C42" s="76" t="s">
        <v>23</v>
      </c>
      <c r="D42" s="76"/>
      <c r="E42" s="76"/>
      <c r="F42" s="76"/>
      <c r="G42" s="76"/>
      <c r="H42" s="76"/>
      <c r="I42" s="76"/>
      <c r="J42" s="76"/>
      <c r="K42" s="76"/>
      <c r="L42" s="74">
        <v>929</v>
      </c>
      <c r="M42" s="74"/>
      <c r="N42" s="77">
        <f>'1'!N42:O42</f>
        <v>0</v>
      </c>
      <c r="O42" s="77"/>
      <c r="P42" s="17">
        <f t="shared" si="2"/>
        <v>0</v>
      </c>
    </row>
    <row r="43" spans="2:16" x14ac:dyDescent="0.25">
      <c r="B43" s="4">
        <v>12</v>
      </c>
      <c r="C43" s="76" t="s">
        <v>25</v>
      </c>
      <c r="D43" s="76"/>
      <c r="E43" s="76"/>
      <c r="F43" s="76"/>
      <c r="G43" s="76"/>
      <c r="H43" s="76"/>
      <c r="I43" s="76"/>
      <c r="J43" s="76"/>
      <c r="K43" s="76"/>
      <c r="L43" s="74">
        <v>929</v>
      </c>
      <c r="M43" s="74"/>
      <c r="N43" s="77">
        <f>'1'!N43:O43</f>
        <v>0.5</v>
      </c>
      <c r="O43" s="77"/>
      <c r="P43" s="17">
        <f t="shared" si="2"/>
        <v>5574</v>
      </c>
    </row>
    <row r="44" spans="2:16" x14ac:dyDescent="0.25">
      <c r="B44" s="38"/>
      <c r="C44" s="78" t="s">
        <v>26</v>
      </c>
      <c r="D44" s="78"/>
      <c r="E44" s="78"/>
      <c r="F44" s="78"/>
      <c r="G44" s="78"/>
      <c r="H44" s="78"/>
      <c r="I44" s="78"/>
      <c r="J44" s="78"/>
      <c r="K44" s="78"/>
      <c r="L44" s="79">
        <v>929</v>
      </c>
      <c r="M44" s="79"/>
      <c r="N44" s="91">
        <f>SUM(N31:O43)</f>
        <v>16.808246099999998</v>
      </c>
      <c r="O44" s="91"/>
      <c r="P44" s="39">
        <f>SUM(P31:P43)</f>
        <v>187378.32752279998</v>
      </c>
    </row>
    <row r="45" spans="2:16" hidden="1" x14ac:dyDescent="0.25">
      <c r="B45" s="90" t="s">
        <v>27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</row>
    <row r="46" spans="2:16" hidden="1" x14ac:dyDescent="0.25">
      <c r="B46" s="4">
        <v>1</v>
      </c>
      <c r="C46" s="82" t="s">
        <v>73</v>
      </c>
      <c r="D46" s="83"/>
      <c r="E46" s="83"/>
      <c r="F46" s="83"/>
      <c r="G46" s="83"/>
      <c r="H46" s="83"/>
      <c r="I46" s="83"/>
      <c r="J46" s="83"/>
      <c r="K46" s="84"/>
      <c r="L46" s="74">
        <v>929</v>
      </c>
      <c r="M46" s="74"/>
      <c r="N46" s="74"/>
      <c r="O46" s="74"/>
      <c r="P46" s="4">
        <f>L46*N46*6</f>
        <v>0</v>
      </c>
    </row>
    <row r="47" spans="2:16" hidden="1" x14ac:dyDescent="0.25">
      <c r="B47" s="4">
        <v>2</v>
      </c>
      <c r="C47" s="82" t="s">
        <v>74</v>
      </c>
      <c r="D47" s="83"/>
      <c r="E47" s="83"/>
      <c r="F47" s="83"/>
      <c r="G47" s="83"/>
      <c r="H47" s="83"/>
      <c r="I47" s="83"/>
      <c r="J47" s="83"/>
      <c r="K47" s="84"/>
      <c r="L47" s="74">
        <v>929</v>
      </c>
      <c r="M47" s="74"/>
      <c r="N47" s="74"/>
      <c r="O47" s="74"/>
      <c r="P47" s="4">
        <f>L47*N47*6</f>
        <v>0</v>
      </c>
    </row>
    <row r="48" spans="2:16" hidden="1" x14ac:dyDescent="0.25">
      <c r="B48" s="4">
        <v>3</v>
      </c>
      <c r="C48" s="74"/>
      <c r="D48" s="74"/>
      <c r="E48" s="74"/>
      <c r="F48" s="74"/>
      <c r="G48" s="74"/>
      <c r="H48" s="74"/>
      <c r="I48" s="74"/>
      <c r="J48" s="74"/>
      <c r="K48" s="74"/>
      <c r="L48" s="74">
        <v>929</v>
      </c>
      <c r="M48" s="74"/>
      <c r="N48" s="74"/>
      <c r="O48" s="74"/>
      <c r="P48" s="4"/>
    </row>
    <row r="49" spans="2:16" hidden="1" x14ac:dyDescent="0.25">
      <c r="B49" s="4">
        <v>4</v>
      </c>
      <c r="C49" s="74"/>
      <c r="D49" s="74"/>
      <c r="E49" s="74"/>
      <c r="F49" s="74"/>
      <c r="G49" s="74"/>
      <c r="H49" s="74"/>
      <c r="I49" s="74"/>
      <c r="J49" s="74"/>
      <c r="K49" s="74"/>
      <c r="L49" s="74">
        <v>929</v>
      </c>
      <c r="M49" s="74"/>
      <c r="N49" s="74"/>
      <c r="O49" s="74"/>
      <c r="P49" s="4"/>
    </row>
    <row r="50" spans="2:16" hidden="1" x14ac:dyDescent="0.25">
      <c r="B50" s="38"/>
      <c r="C50" s="86" t="s">
        <v>29</v>
      </c>
      <c r="D50" s="87"/>
      <c r="E50" s="87"/>
      <c r="F50" s="87"/>
      <c r="G50" s="87"/>
      <c r="H50" s="87"/>
      <c r="I50" s="87"/>
      <c r="J50" s="87"/>
      <c r="K50" s="88"/>
      <c r="L50" s="79">
        <v>929</v>
      </c>
      <c r="M50" s="79"/>
      <c r="N50" s="79">
        <f>SUM(N46:O49)</f>
        <v>0</v>
      </c>
      <c r="O50" s="79"/>
      <c r="P50" s="38">
        <f>SUM(P46:P49)</f>
        <v>0</v>
      </c>
    </row>
    <row r="51" spans="2:16" hidden="1" x14ac:dyDescent="0.25">
      <c r="B51" s="90" t="s">
        <v>30</v>
      </c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</row>
    <row r="52" spans="2:16" hidden="1" x14ac:dyDescent="0.25">
      <c r="B52" s="38"/>
      <c r="C52" s="86" t="s">
        <v>31</v>
      </c>
      <c r="D52" s="87"/>
      <c r="E52" s="87"/>
      <c r="F52" s="87"/>
      <c r="G52" s="87"/>
      <c r="H52" s="87"/>
      <c r="I52" s="87"/>
      <c r="J52" s="87"/>
      <c r="K52" s="88"/>
      <c r="L52" s="79">
        <v>929</v>
      </c>
      <c r="M52" s="79"/>
      <c r="N52" s="79">
        <v>0</v>
      </c>
      <c r="O52" s="79"/>
      <c r="P52" s="38">
        <v>0</v>
      </c>
    </row>
    <row r="55" spans="2:16" x14ac:dyDescent="0.25">
      <c r="C55" s="1" t="s">
        <v>38</v>
      </c>
    </row>
    <row r="56" spans="2:16" x14ac:dyDescent="0.25">
      <c r="C56" s="1" t="s">
        <v>39</v>
      </c>
    </row>
    <row r="57" spans="2:16" x14ac:dyDescent="0.25">
      <c r="C57" s="4" t="s">
        <v>96</v>
      </c>
      <c r="D57" s="22">
        <f>N44</f>
        <v>16.808246099999998</v>
      </c>
    </row>
    <row r="60" spans="2:16" x14ac:dyDescent="0.25">
      <c r="C60" s="1" t="s">
        <v>40</v>
      </c>
      <c r="D60" s="2"/>
      <c r="E60" s="2"/>
      <c r="F60" s="2"/>
      <c r="G60" s="2"/>
      <c r="J60" s="1" t="s">
        <v>41</v>
      </c>
    </row>
    <row r="63" spans="2:16" ht="24.75" customHeight="1" x14ac:dyDescent="0.25">
      <c r="C63" s="1" t="s">
        <v>42</v>
      </c>
      <c r="D63" s="2"/>
      <c r="E63" s="2"/>
      <c r="F63" s="1" t="s">
        <v>43</v>
      </c>
    </row>
    <row r="64" spans="2:16" ht="25.5" customHeight="1" x14ac:dyDescent="0.25">
      <c r="D64" s="2"/>
      <c r="E64" s="2"/>
      <c r="F64" s="1" t="s">
        <v>43</v>
      </c>
    </row>
    <row r="65" spans="4:6" ht="24.75" customHeight="1" x14ac:dyDescent="0.25">
      <c r="D65" s="2"/>
      <c r="E65" s="2"/>
      <c r="F65" s="1" t="s">
        <v>43</v>
      </c>
    </row>
  </sheetData>
  <mergeCells count="115">
    <mergeCell ref="B51:P51"/>
    <mergeCell ref="C52:K52"/>
    <mergeCell ref="L52:M52"/>
    <mergeCell ref="N52:O52"/>
    <mergeCell ref="C49:K49"/>
    <mergeCell ref="L49:M49"/>
    <mergeCell ref="N49:O49"/>
    <mergeCell ref="C50:K50"/>
    <mergeCell ref="L50:M50"/>
    <mergeCell ref="N50:O50"/>
    <mergeCell ref="B45:P45"/>
    <mergeCell ref="C46:K46"/>
    <mergeCell ref="L46:M46"/>
    <mergeCell ref="N46:O46"/>
    <mergeCell ref="C47:K47"/>
    <mergeCell ref="L47:M47"/>
    <mergeCell ref="N47:O47"/>
    <mergeCell ref="C48:K48"/>
    <mergeCell ref="L48:M48"/>
    <mergeCell ref="N48:O48"/>
    <mergeCell ref="C42:K42"/>
    <mergeCell ref="L42:M42"/>
    <mergeCell ref="N42:O42"/>
    <mergeCell ref="C43:K43"/>
    <mergeCell ref="L43:M43"/>
    <mergeCell ref="N43:O43"/>
    <mergeCell ref="C44:K44"/>
    <mergeCell ref="L44:M44"/>
    <mergeCell ref="N44:O44"/>
    <mergeCell ref="C39:K39"/>
    <mergeCell ref="L39:M39"/>
    <mergeCell ref="N39:O39"/>
    <mergeCell ref="C40:K40"/>
    <mergeCell ref="L40:M40"/>
    <mergeCell ref="N40:O40"/>
    <mergeCell ref="C41:K41"/>
    <mergeCell ref="L41:M41"/>
    <mergeCell ref="N41:O41"/>
    <mergeCell ref="C36:K36"/>
    <mergeCell ref="L36:M36"/>
    <mergeCell ref="N36:O36"/>
    <mergeCell ref="C37:K37"/>
    <mergeCell ref="L37:M37"/>
    <mergeCell ref="N37:O37"/>
    <mergeCell ref="C38:K38"/>
    <mergeCell ref="L38:M38"/>
    <mergeCell ref="N38:O38"/>
    <mergeCell ref="C33:K33"/>
    <mergeCell ref="L33:M33"/>
    <mergeCell ref="N33:O33"/>
    <mergeCell ref="C34:K34"/>
    <mergeCell ref="L34:M34"/>
    <mergeCell ref="N34:O34"/>
    <mergeCell ref="C35:K35"/>
    <mergeCell ref="L35:M35"/>
    <mergeCell ref="N35:O35"/>
    <mergeCell ref="C29:K29"/>
    <mergeCell ref="L29:M29"/>
    <mergeCell ref="N29:O29"/>
    <mergeCell ref="B30:P30"/>
    <mergeCell ref="C31:K31"/>
    <mergeCell ref="L31:M31"/>
    <mergeCell ref="N31:O31"/>
    <mergeCell ref="C32:K32"/>
    <mergeCell ref="L32:M32"/>
    <mergeCell ref="N32:O32"/>
    <mergeCell ref="C28:K28"/>
    <mergeCell ref="L28:M28"/>
    <mergeCell ref="N28:O28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2:E22"/>
    <mergeCell ref="B2:V2"/>
    <mergeCell ref="B3:V3"/>
    <mergeCell ref="B4:V4"/>
    <mergeCell ref="P12:Q12"/>
    <mergeCell ref="P13:Q13"/>
    <mergeCell ref="P14:Q14"/>
    <mergeCell ref="P15:Q15"/>
    <mergeCell ref="P16:Q16"/>
    <mergeCell ref="T12:U12"/>
    <mergeCell ref="T13:U13"/>
    <mergeCell ref="T14:U14"/>
    <mergeCell ref="T15:U15"/>
    <mergeCell ref="T16:U16"/>
    <mergeCell ref="T18:U18"/>
    <mergeCell ref="T19:U19"/>
    <mergeCell ref="T20:U20"/>
    <mergeCell ref="T22:U22"/>
    <mergeCell ref="P18:Q18"/>
    <mergeCell ref="P19:Q19"/>
    <mergeCell ref="P20:Q20"/>
    <mergeCell ref="P22:Q22"/>
    <mergeCell ref="R12:S12"/>
    <mergeCell ref="R13:S13"/>
    <mergeCell ref="R14:S14"/>
    <mergeCell ref="R15:S15"/>
    <mergeCell ref="R16:S16"/>
    <mergeCell ref="R18:S18"/>
    <mergeCell ref="R19:S19"/>
    <mergeCell ref="R20:S20"/>
    <mergeCell ref="R22:S22"/>
    <mergeCell ref="P17:Q17"/>
    <mergeCell ref="R17:S17"/>
    <mergeCell ref="T17:U17"/>
    <mergeCell ref="P21:Q21"/>
    <mergeCell ref="R21:S21"/>
    <mergeCell ref="T21:U21"/>
  </mergeCells>
  <pageMargins left="0.25" right="0.25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B1:V65"/>
  <sheetViews>
    <sheetView view="pageBreakPreview" topLeftCell="A10" zoomScale="78" zoomScaleNormal="84" zoomScaleSheetLayoutView="78" workbookViewId="0">
      <selection activeCell="L17" sqref="L17"/>
    </sheetView>
  </sheetViews>
  <sheetFormatPr defaultRowHeight="15.75" x14ac:dyDescent="0.25"/>
  <cols>
    <col min="1" max="1" width="4.140625" style="1" customWidth="1"/>
    <col min="2" max="2" width="4" style="1" bestFit="1" customWidth="1"/>
    <col min="3" max="3" width="39.28515625" style="1" customWidth="1"/>
    <col min="4" max="4" width="13.28515625" style="1" customWidth="1"/>
    <col min="5" max="5" width="10.85546875" style="1" customWidth="1"/>
    <col min="6" max="6" width="10" style="1" bestFit="1" customWidth="1"/>
    <col min="7" max="7" width="1.5703125" style="1" hidden="1" customWidth="1"/>
    <col min="8" max="8" width="12.5703125" style="1" hidden="1" customWidth="1"/>
    <col min="9" max="9" width="1.5703125" style="1" customWidth="1"/>
    <col min="10" max="10" width="11.140625" style="1" customWidth="1"/>
    <col min="11" max="11" width="2.28515625" style="1" customWidth="1"/>
    <col min="12" max="12" width="12.5703125" style="1" customWidth="1"/>
    <col min="13" max="13" width="1.5703125" style="1" customWidth="1"/>
    <col min="14" max="14" width="15.7109375" style="1" customWidth="1"/>
    <col min="15" max="15" width="1.7109375" style="1" customWidth="1"/>
    <col min="16" max="16" width="12" style="1" customWidth="1"/>
    <col min="17" max="17" width="5.28515625" style="1" customWidth="1"/>
    <col min="18" max="18" width="11.7109375" style="1" customWidth="1"/>
    <col min="19" max="19" width="5.85546875" style="1" customWidth="1"/>
    <col min="20" max="20" width="14.5703125" style="1" customWidth="1"/>
    <col min="21" max="21" width="4.28515625" style="1" customWidth="1"/>
    <col min="22" max="22" width="11" style="1" customWidth="1"/>
    <col min="23" max="16384" width="9.140625" style="1"/>
  </cols>
  <sheetData>
    <row r="1" spans="2:22" ht="16.5" thickBot="1" x14ac:dyDescent="0.3"/>
    <row r="2" spans="2:22" x14ac:dyDescent="0.25">
      <c r="B2" s="63" t="s">
        <v>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5"/>
    </row>
    <row r="3" spans="2:22" x14ac:dyDescent="0.25">
      <c r="B3" s="66" t="str">
        <f>'1'!B3:V3</f>
        <v>с 1.01.2016 по 31.12.2016 г.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/>
    </row>
    <row r="4" spans="2:22" ht="16.5" thickBot="1" x14ac:dyDescent="0.3">
      <c r="B4" s="69" t="s">
        <v>32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1"/>
    </row>
    <row r="5" spans="2:22" x14ac:dyDescent="0.25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2:22" x14ac:dyDescent="0.25">
      <c r="C6" s="29" t="s">
        <v>48</v>
      </c>
    </row>
    <row r="8" spans="2:22" x14ac:dyDescent="0.25">
      <c r="C8" s="1" t="s">
        <v>33</v>
      </c>
      <c r="D8" s="2">
        <v>3583.3</v>
      </c>
    </row>
    <row r="9" spans="2:22" x14ac:dyDescent="0.25">
      <c r="C9" s="1" t="s">
        <v>35</v>
      </c>
      <c r="D9" s="3">
        <v>191</v>
      </c>
    </row>
    <row r="10" spans="2:22" x14ac:dyDescent="0.25">
      <c r="C10" s="1" t="s">
        <v>36</v>
      </c>
      <c r="D10" s="3">
        <v>80</v>
      </c>
    </row>
    <row r="12" spans="2:22" ht="63" x14ac:dyDescent="0.25">
      <c r="C12" s="27" t="s">
        <v>1</v>
      </c>
      <c r="D12" s="59" t="str">
        <f>'1'!D12:E12</f>
        <v>Содержание общего имущества дома</v>
      </c>
      <c r="E12" s="60"/>
      <c r="F12" s="27" t="s">
        <v>8</v>
      </c>
      <c r="G12" s="7"/>
      <c r="H12" s="27" t="s">
        <v>9</v>
      </c>
      <c r="I12" s="7"/>
      <c r="J12" s="28" t="str">
        <f>'1'!J12</f>
        <v>Вывоз ТБО (руб./чел.)</v>
      </c>
      <c r="K12" s="7"/>
      <c r="L12" s="28" t="s">
        <v>67</v>
      </c>
      <c r="M12" s="7"/>
      <c r="N12" s="28" t="str">
        <f>'1'!N12</f>
        <v>Обслуживание антены (руб./лиц.сч.)</v>
      </c>
      <c r="O12" s="8"/>
      <c r="P12" s="59" t="str">
        <f>'1'!P12</f>
        <v xml:space="preserve">Хол. вода </v>
      </c>
      <c r="Q12" s="60"/>
      <c r="R12" s="59" t="str">
        <f>'1'!R12</f>
        <v xml:space="preserve">Гор. вода </v>
      </c>
      <c r="S12" s="60"/>
      <c r="T12" s="59" t="str">
        <f>'1'!T12</f>
        <v>Канализация</v>
      </c>
      <c r="U12" s="60"/>
      <c r="V12" s="27" t="s">
        <v>10</v>
      </c>
    </row>
    <row r="13" spans="2:22" x14ac:dyDescent="0.25">
      <c r="C13" s="9" t="s">
        <v>2</v>
      </c>
      <c r="D13" s="57"/>
      <c r="E13" s="58"/>
      <c r="F13" s="11"/>
      <c r="G13" s="7"/>
      <c r="H13" s="11"/>
      <c r="I13" s="7"/>
      <c r="J13" s="11"/>
      <c r="K13" s="7"/>
      <c r="L13" s="11"/>
      <c r="M13" s="7"/>
      <c r="N13" s="11"/>
      <c r="O13" s="7"/>
      <c r="P13" s="57"/>
      <c r="Q13" s="58"/>
      <c r="R13" s="57"/>
      <c r="S13" s="58"/>
      <c r="T13" s="57"/>
      <c r="U13" s="58"/>
      <c r="V13" s="30">
        <f>V14</f>
        <v>-1001914.78</v>
      </c>
    </row>
    <row r="14" spans="2:22" ht="47.25" x14ac:dyDescent="0.25">
      <c r="C14" s="10" t="str">
        <f>'1'!C14</f>
        <v>Остаток с предыдущего периода (задолженность(-), переплата (+)) на 01.01.2016г.</v>
      </c>
      <c r="D14" s="57"/>
      <c r="E14" s="58"/>
      <c r="F14" s="11">
        <v>-237271.86</v>
      </c>
      <c r="G14" s="7"/>
      <c r="H14" s="11">
        <v>0</v>
      </c>
      <c r="I14" s="7"/>
      <c r="J14" s="11">
        <v>-39400.050000000003</v>
      </c>
      <c r="K14" s="7"/>
      <c r="L14" s="11">
        <v>-411166.52</v>
      </c>
      <c r="M14" s="7"/>
      <c r="N14" s="11">
        <v>-13316.29</v>
      </c>
      <c r="O14" s="7"/>
      <c r="P14" s="57">
        <v>-35217.050000000003</v>
      </c>
      <c r="Q14" s="58"/>
      <c r="R14" s="57">
        <v>-188911.1</v>
      </c>
      <c r="S14" s="58"/>
      <c r="T14" s="57">
        <v>-76631.91</v>
      </c>
      <c r="U14" s="58"/>
      <c r="V14" s="14">
        <f>F14+H14+J14+L14+N14+P14+Q14+R14+S14+T14+U14</f>
        <v>-1001914.78</v>
      </c>
    </row>
    <row r="15" spans="2:22" x14ac:dyDescent="0.25">
      <c r="C15" s="9" t="s">
        <v>3</v>
      </c>
      <c r="D15" s="57"/>
      <c r="E15" s="58"/>
      <c r="F15" s="11">
        <v>659672.38</v>
      </c>
      <c r="G15" s="7"/>
      <c r="H15" s="14"/>
      <c r="I15" s="7"/>
      <c r="J15" s="14">
        <v>91645.84</v>
      </c>
      <c r="K15" s="7"/>
      <c r="L15" s="14">
        <f>1132733.27+114784.41</f>
        <v>1247517.68</v>
      </c>
      <c r="M15" s="7"/>
      <c r="N15" s="11">
        <v>41400</v>
      </c>
      <c r="O15" s="7"/>
      <c r="P15" s="61">
        <f>64684.3+1631.85</f>
        <v>66316.150000000009</v>
      </c>
      <c r="Q15" s="62"/>
      <c r="R15" s="61">
        <f>350809.05+7055.28</f>
        <v>357864.33</v>
      </c>
      <c r="S15" s="62"/>
      <c r="T15" s="61">
        <f>80343.9+66052.25</f>
        <v>146396.15</v>
      </c>
      <c r="U15" s="62"/>
      <c r="V15" s="11">
        <f>F15+H15+J15+L15+N15+P15+Q15+R15+S15+T15+U15</f>
        <v>2610812.5299999998</v>
      </c>
    </row>
    <row r="16" spans="2:22" x14ac:dyDescent="0.25">
      <c r="C16" s="9" t="s">
        <v>4</v>
      </c>
      <c r="D16" s="57"/>
      <c r="E16" s="58"/>
      <c r="F16" s="11">
        <f>613242.77+5589.4</f>
        <v>618832.17000000004</v>
      </c>
      <c r="G16" s="7"/>
      <c r="H16" s="14"/>
      <c r="I16" s="7"/>
      <c r="J16" s="14">
        <v>87208.37</v>
      </c>
      <c r="K16" s="7"/>
      <c r="L16" s="14">
        <f>1060751.61+59506.69</f>
        <v>1120258.3</v>
      </c>
      <c r="M16" s="7"/>
      <c r="N16" s="14">
        <v>38040.49</v>
      </c>
      <c r="O16" s="7"/>
      <c r="P16" s="61">
        <f>59474.4+436.49</f>
        <v>59910.89</v>
      </c>
      <c r="Q16" s="62"/>
      <c r="R16" s="61">
        <f>347249.41+1774.27</f>
        <v>349023.68</v>
      </c>
      <c r="S16" s="62"/>
      <c r="T16" s="61">
        <f>77850.75+62157.68</f>
        <v>140008.43</v>
      </c>
      <c r="U16" s="62"/>
      <c r="V16" s="12">
        <f t="shared" ref="V16:V17" si="0">F16+H16+J16+L16+N16+P16+Q16+R16+S16+T16+U16</f>
        <v>2413282.33</v>
      </c>
    </row>
    <row r="17" spans="2:22" ht="31.5" x14ac:dyDescent="0.25">
      <c r="C17" s="10" t="s">
        <v>5</v>
      </c>
      <c r="D17" s="57"/>
      <c r="E17" s="58"/>
      <c r="F17" s="14">
        <f>P44+P50</f>
        <v>722747.85900156025</v>
      </c>
      <c r="G17" s="7"/>
      <c r="H17" s="11">
        <f>P52</f>
        <v>0</v>
      </c>
      <c r="I17" s="7"/>
      <c r="J17" s="14">
        <f>J15+18637.28</f>
        <v>110283.12</v>
      </c>
      <c r="K17" s="7"/>
      <c r="L17" s="14">
        <f>(D8*L20*6)+(D8*L21*6)</f>
        <v>1131319.476</v>
      </c>
      <c r="M17" s="7"/>
      <c r="N17" s="14">
        <f>'1'!N17</f>
        <v>11336.326999999999</v>
      </c>
      <c r="O17" s="7"/>
      <c r="P17" s="61">
        <f>P15+Q15+114670.71</f>
        <v>180986.86000000002</v>
      </c>
      <c r="Q17" s="62"/>
      <c r="R17" s="61">
        <f>R15+S15</f>
        <v>357864.33</v>
      </c>
      <c r="S17" s="62"/>
      <c r="T17" s="61">
        <f>T15+U15</f>
        <v>146396.15</v>
      </c>
      <c r="U17" s="58"/>
      <c r="V17" s="12">
        <f t="shared" si="0"/>
        <v>2660934.1220015604</v>
      </c>
    </row>
    <row r="18" spans="2:22" ht="31.5" x14ac:dyDescent="0.25">
      <c r="C18" s="10" t="str">
        <f>'1'!C18</f>
        <v>Текущий остаток (задолженность (-), переплата (+)) на 31.12.2016 г.</v>
      </c>
      <c r="D18" s="57"/>
      <c r="E18" s="58"/>
      <c r="F18" s="33">
        <f>F16-F15+F14</f>
        <v>-278112.06999999995</v>
      </c>
      <c r="G18" s="32"/>
      <c r="H18" s="31">
        <f>H16-H15+H14</f>
        <v>0</v>
      </c>
      <c r="I18" s="32"/>
      <c r="J18" s="31">
        <f>J16-J15+J14</f>
        <v>-43837.520000000004</v>
      </c>
      <c r="K18" s="32"/>
      <c r="L18" s="31">
        <f>L16-L15+L14</f>
        <v>-538425.89999999991</v>
      </c>
      <c r="M18" s="32"/>
      <c r="N18" s="31">
        <f>N16-N15+N14</f>
        <v>-16675.800000000003</v>
      </c>
      <c r="O18" s="32"/>
      <c r="P18" s="55">
        <f t="shared" ref="P18:V18" si="1">P16-P15+P14</f>
        <v>-41622.310000000012</v>
      </c>
      <c r="Q18" s="56"/>
      <c r="R18" s="55">
        <f t="shared" si="1"/>
        <v>-197751.75000000003</v>
      </c>
      <c r="S18" s="56"/>
      <c r="T18" s="55">
        <f t="shared" si="1"/>
        <v>-83019.63</v>
      </c>
      <c r="U18" s="56"/>
      <c r="V18" s="31">
        <f t="shared" si="1"/>
        <v>-1199444.9799999997</v>
      </c>
    </row>
    <row r="19" spans="2:22" x14ac:dyDescent="0.25">
      <c r="C19" s="9" t="s">
        <v>6</v>
      </c>
      <c r="D19" s="57"/>
      <c r="E19" s="58"/>
      <c r="F19" s="11"/>
      <c r="G19" s="7"/>
      <c r="H19" s="11"/>
      <c r="I19" s="7"/>
      <c r="J19" s="11"/>
      <c r="K19" s="7"/>
      <c r="L19" s="11"/>
      <c r="M19" s="7"/>
      <c r="N19" s="11"/>
      <c r="O19" s="7"/>
      <c r="P19" s="57"/>
      <c r="Q19" s="58"/>
      <c r="R19" s="57"/>
      <c r="S19" s="58"/>
      <c r="T19" s="57"/>
      <c r="U19" s="58"/>
      <c r="V19" s="30">
        <f>F18+H18+J18+L18+N18+P18+Q18+R18+S18+T18+U18</f>
        <v>-1199444.98</v>
      </c>
    </row>
    <row r="20" spans="2:22" x14ac:dyDescent="0.25">
      <c r="C20" s="9" t="str">
        <f>'1'!C20</f>
        <v>Тариф (руб/м²), 1-е полугодие</v>
      </c>
      <c r="D20" s="57"/>
      <c r="E20" s="58"/>
      <c r="F20" s="13">
        <f>'1'!F20</f>
        <v>15.31</v>
      </c>
      <c r="G20" s="7"/>
      <c r="H20" s="13">
        <f>'1'!H20</f>
        <v>37.700000000000003</v>
      </c>
      <c r="I20" s="7"/>
      <c r="J20" s="13">
        <f>'1'!J20</f>
        <v>44.32</v>
      </c>
      <c r="K20" s="7"/>
      <c r="L20" s="11">
        <v>25.94</v>
      </c>
      <c r="M20" s="7"/>
      <c r="N20" s="11">
        <f>'1'!N20</f>
        <v>50</v>
      </c>
      <c r="O20" s="7"/>
      <c r="P20" s="57" t="str">
        <f>'1'!P20</f>
        <v xml:space="preserve">15,02 руб./м3 </v>
      </c>
      <c r="Q20" s="58"/>
      <c r="R20" s="57" t="str">
        <f>'1'!R20</f>
        <v>99,55 руб./м3</v>
      </c>
      <c r="S20" s="58"/>
      <c r="T20" s="57" t="str">
        <f>'1'!T20</f>
        <v>18,66 руб./м3</v>
      </c>
      <c r="U20" s="58"/>
      <c r="V20" s="11"/>
    </row>
    <row r="21" spans="2:22" x14ac:dyDescent="0.25">
      <c r="C21" s="9" t="str">
        <f>'1'!C21</f>
        <v>Тариф (руб/м²), 2-е полугодие</v>
      </c>
      <c r="D21" s="50"/>
      <c r="E21" s="51"/>
      <c r="F21" s="21">
        <f>'1'!F21</f>
        <v>15.31</v>
      </c>
      <c r="G21" s="7"/>
      <c r="H21" s="21"/>
      <c r="I21" s="7"/>
      <c r="J21" s="21">
        <f>'1'!J21</f>
        <v>44.32</v>
      </c>
      <c r="K21" s="7"/>
      <c r="L21" s="21">
        <f>'1'!L21</f>
        <v>26.68</v>
      </c>
      <c r="M21" s="7"/>
      <c r="N21" s="21">
        <f>'1'!N21</f>
        <v>50</v>
      </c>
      <c r="O21" s="7"/>
      <c r="P21" s="57" t="str">
        <f>'1'!P21:Q21</f>
        <v>15,63 руб./м³</v>
      </c>
      <c r="Q21" s="58"/>
      <c r="R21" s="57" t="str">
        <f>'1'!R21:S21</f>
        <v>102,59 руб./м³</v>
      </c>
      <c r="S21" s="58"/>
      <c r="T21" s="57" t="str">
        <f>'1'!T21:U21</f>
        <v>19,41 руб./м³</v>
      </c>
      <c r="U21" s="58"/>
      <c r="V21" s="21"/>
    </row>
    <row r="22" spans="2:22" x14ac:dyDescent="0.25">
      <c r="C22" s="9" t="s">
        <v>44</v>
      </c>
      <c r="D22" s="57"/>
      <c r="E22" s="58"/>
      <c r="F22" s="18">
        <f>N44+N50</f>
        <v>16.808246099999998</v>
      </c>
      <c r="G22" s="7"/>
      <c r="H22" s="11"/>
      <c r="I22" s="7"/>
      <c r="J22" s="11"/>
      <c r="K22" s="7"/>
      <c r="L22" s="11"/>
      <c r="M22" s="7"/>
      <c r="N22" s="11"/>
      <c r="O22" s="7"/>
      <c r="P22" s="57"/>
      <c r="Q22" s="58"/>
      <c r="R22" s="57"/>
      <c r="S22" s="58"/>
      <c r="T22" s="57"/>
      <c r="U22" s="58"/>
      <c r="V22" s="11"/>
    </row>
    <row r="24" spans="2:22" x14ac:dyDescent="0.25">
      <c r="C24" s="5" t="s">
        <v>11</v>
      </c>
    </row>
    <row r="25" spans="2:22" x14ac:dyDescent="0.25">
      <c r="C25" s="1" t="s">
        <v>12</v>
      </c>
      <c r="J25" s="34">
        <f>V19/V15*100</f>
        <v>-45.941444137316132</v>
      </c>
      <c r="K25" s="35" t="s">
        <v>37</v>
      </c>
    </row>
    <row r="28" spans="2:22" ht="33" customHeight="1" x14ac:dyDescent="0.25">
      <c r="B28" s="27" t="s">
        <v>13</v>
      </c>
      <c r="C28" s="72" t="s">
        <v>14</v>
      </c>
      <c r="D28" s="72"/>
      <c r="E28" s="72"/>
      <c r="F28" s="72"/>
      <c r="G28" s="72"/>
      <c r="H28" s="72"/>
      <c r="I28" s="72"/>
      <c r="J28" s="72"/>
      <c r="K28" s="72"/>
      <c r="L28" s="73" t="s">
        <v>45</v>
      </c>
      <c r="M28" s="73"/>
      <c r="N28" s="73" t="s">
        <v>46</v>
      </c>
      <c r="O28" s="73"/>
      <c r="P28" s="27" t="s">
        <v>28</v>
      </c>
    </row>
    <row r="29" spans="2:22" x14ac:dyDescent="0.25">
      <c r="B29" s="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4"/>
    </row>
    <row r="30" spans="2:22" x14ac:dyDescent="0.25">
      <c r="B30" s="90" t="s">
        <v>7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</row>
    <row r="31" spans="2:22" x14ac:dyDescent="0.25">
      <c r="B31" s="4">
        <v>1</v>
      </c>
      <c r="C31" s="76" t="s">
        <v>15</v>
      </c>
      <c r="D31" s="76"/>
      <c r="E31" s="76"/>
      <c r="F31" s="76"/>
      <c r="G31" s="76"/>
      <c r="H31" s="76"/>
      <c r="I31" s="76"/>
      <c r="J31" s="76"/>
      <c r="K31" s="76"/>
      <c r="L31" s="74">
        <v>3583.3</v>
      </c>
      <c r="M31" s="74"/>
      <c r="N31" s="77">
        <f>'1'!N31:O31</f>
        <v>3.5</v>
      </c>
      <c r="O31" s="77"/>
      <c r="P31" s="17">
        <f>L31*N31*12</f>
        <v>150498.6</v>
      </c>
    </row>
    <row r="32" spans="2:22" x14ac:dyDescent="0.25">
      <c r="B32" s="4">
        <v>2</v>
      </c>
      <c r="C32" s="76" t="s">
        <v>34</v>
      </c>
      <c r="D32" s="76"/>
      <c r="E32" s="76"/>
      <c r="F32" s="76"/>
      <c r="G32" s="76"/>
      <c r="H32" s="76"/>
      <c r="I32" s="76"/>
      <c r="J32" s="76"/>
      <c r="K32" s="76"/>
      <c r="L32" s="74">
        <v>3583.3</v>
      </c>
      <c r="M32" s="74"/>
      <c r="N32" s="77">
        <f>'1'!N32:O32</f>
        <v>0.98752150000000005</v>
      </c>
      <c r="O32" s="77"/>
      <c r="P32" s="17">
        <f t="shared" ref="P32:P43" si="2">L32*N32*12</f>
        <v>42463.029491400004</v>
      </c>
    </row>
    <row r="33" spans="2:16" x14ac:dyDescent="0.25">
      <c r="B33" s="4">
        <v>3</v>
      </c>
      <c r="C33" s="76" t="s">
        <v>16</v>
      </c>
      <c r="D33" s="76"/>
      <c r="E33" s="76"/>
      <c r="F33" s="76"/>
      <c r="G33" s="76"/>
      <c r="H33" s="76"/>
      <c r="I33" s="76"/>
      <c r="J33" s="76"/>
      <c r="K33" s="76"/>
      <c r="L33" s="74">
        <v>3583.3</v>
      </c>
      <c r="M33" s="74"/>
      <c r="N33" s="77">
        <f>'1'!N33:O33</f>
        <v>2.8257476000000001</v>
      </c>
      <c r="O33" s="77"/>
      <c r="P33" s="17">
        <f t="shared" si="2"/>
        <v>121506.01650096002</v>
      </c>
    </row>
    <row r="34" spans="2:16" x14ac:dyDescent="0.25">
      <c r="B34" s="4">
        <v>4</v>
      </c>
      <c r="C34" s="76" t="s">
        <v>17</v>
      </c>
      <c r="D34" s="76"/>
      <c r="E34" s="76"/>
      <c r="F34" s="76"/>
      <c r="G34" s="76"/>
      <c r="H34" s="76"/>
      <c r="I34" s="76"/>
      <c r="J34" s="76"/>
      <c r="K34" s="76"/>
      <c r="L34" s="74">
        <v>3583.3</v>
      </c>
      <c r="M34" s="74"/>
      <c r="N34" s="77">
        <f>'1'!N34:O34</f>
        <v>1</v>
      </c>
      <c r="O34" s="77"/>
      <c r="P34" s="17">
        <f t="shared" si="2"/>
        <v>42999.600000000006</v>
      </c>
    </row>
    <row r="35" spans="2:16" x14ac:dyDescent="0.25">
      <c r="B35" s="4">
        <v>5</v>
      </c>
      <c r="C35" s="76" t="s">
        <v>18</v>
      </c>
      <c r="D35" s="76"/>
      <c r="E35" s="76"/>
      <c r="F35" s="76"/>
      <c r="G35" s="76"/>
      <c r="H35" s="76"/>
      <c r="I35" s="76"/>
      <c r="J35" s="76"/>
      <c r="K35" s="76"/>
      <c r="L35" s="74">
        <v>3583.3</v>
      </c>
      <c r="M35" s="74"/>
      <c r="N35" s="77">
        <f>'1'!N35:O35</f>
        <v>2</v>
      </c>
      <c r="O35" s="77"/>
      <c r="P35" s="17">
        <f t="shared" si="2"/>
        <v>85999.200000000012</v>
      </c>
    </row>
    <row r="36" spans="2:16" x14ac:dyDescent="0.25">
      <c r="B36" s="4">
        <v>6</v>
      </c>
      <c r="C36" s="76" t="s">
        <v>24</v>
      </c>
      <c r="D36" s="76"/>
      <c r="E36" s="76"/>
      <c r="F36" s="76"/>
      <c r="G36" s="76"/>
      <c r="H36" s="76"/>
      <c r="I36" s="76"/>
      <c r="J36" s="76"/>
      <c r="K36" s="76"/>
      <c r="L36" s="74">
        <v>3583.3</v>
      </c>
      <c r="M36" s="74"/>
      <c r="N36" s="77">
        <f>'1'!N36:O36</f>
        <v>3</v>
      </c>
      <c r="O36" s="77"/>
      <c r="P36" s="17">
        <f t="shared" si="2"/>
        <v>128998.80000000002</v>
      </c>
    </row>
    <row r="37" spans="2:16" x14ac:dyDescent="0.25">
      <c r="B37" s="4">
        <v>7</v>
      </c>
      <c r="C37" s="76" t="s">
        <v>19</v>
      </c>
      <c r="D37" s="76"/>
      <c r="E37" s="76"/>
      <c r="F37" s="76"/>
      <c r="G37" s="76"/>
      <c r="H37" s="76"/>
      <c r="I37" s="76"/>
      <c r="J37" s="76"/>
      <c r="K37" s="76"/>
      <c r="L37" s="74">
        <v>3583.3</v>
      </c>
      <c r="M37" s="74"/>
      <c r="N37" s="77">
        <f>'1'!N37:O37</f>
        <v>0.5</v>
      </c>
      <c r="O37" s="77"/>
      <c r="P37" s="17">
        <f t="shared" si="2"/>
        <v>21499.800000000003</v>
      </c>
    </row>
    <row r="38" spans="2:16" x14ac:dyDescent="0.25">
      <c r="B38" s="4">
        <v>8</v>
      </c>
      <c r="C38" s="76" t="s">
        <v>20</v>
      </c>
      <c r="D38" s="76"/>
      <c r="E38" s="76"/>
      <c r="F38" s="76"/>
      <c r="G38" s="76"/>
      <c r="H38" s="76"/>
      <c r="I38" s="76"/>
      <c r="J38" s="76"/>
      <c r="K38" s="76"/>
      <c r="L38" s="74">
        <v>3583.3</v>
      </c>
      <c r="M38" s="74"/>
      <c r="N38" s="77">
        <f>'1'!N38:O38</f>
        <v>1.694977</v>
      </c>
      <c r="O38" s="77"/>
      <c r="P38" s="17">
        <f t="shared" si="2"/>
        <v>72883.333009199996</v>
      </c>
    </row>
    <row r="39" spans="2:16" x14ac:dyDescent="0.25">
      <c r="B39" s="4">
        <v>9</v>
      </c>
      <c r="C39" s="76" t="s">
        <v>84</v>
      </c>
      <c r="D39" s="76"/>
      <c r="E39" s="76"/>
      <c r="F39" s="76"/>
      <c r="G39" s="76"/>
      <c r="H39" s="76"/>
      <c r="I39" s="76"/>
      <c r="J39" s="76"/>
      <c r="K39" s="76"/>
      <c r="L39" s="74">
        <v>3583.3</v>
      </c>
      <c r="M39" s="74"/>
      <c r="N39" s="77">
        <f>'1'!N39:O39</f>
        <v>0.1</v>
      </c>
      <c r="O39" s="77"/>
      <c r="P39" s="17">
        <f t="shared" si="2"/>
        <v>4299.9600000000009</v>
      </c>
    </row>
    <row r="40" spans="2:16" x14ac:dyDescent="0.25">
      <c r="B40" s="4">
        <v>10</v>
      </c>
      <c r="C40" s="76" t="s">
        <v>21</v>
      </c>
      <c r="D40" s="76"/>
      <c r="E40" s="76"/>
      <c r="F40" s="76"/>
      <c r="G40" s="76"/>
      <c r="H40" s="76"/>
      <c r="I40" s="76"/>
      <c r="J40" s="76"/>
      <c r="K40" s="76"/>
      <c r="L40" s="74">
        <v>3583.3</v>
      </c>
      <c r="M40" s="74"/>
      <c r="N40" s="77">
        <f>'1'!N40:O40</f>
        <v>0.2</v>
      </c>
      <c r="O40" s="77"/>
      <c r="P40" s="17">
        <f t="shared" si="2"/>
        <v>8599.9200000000019</v>
      </c>
    </row>
    <row r="41" spans="2:16" x14ac:dyDescent="0.25">
      <c r="B41" s="4">
        <v>11</v>
      </c>
      <c r="C41" s="76" t="s">
        <v>22</v>
      </c>
      <c r="D41" s="76"/>
      <c r="E41" s="76"/>
      <c r="F41" s="76"/>
      <c r="G41" s="76"/>
      <c r="H41" s="76"/>
      <c r="I41" s="76"/>
      <c r="J41" s="76"/>
      <c r="K41" s="76"/>
      <c r="L41" s="74">
        <v>3583.3</v>
      </c>
      <c r="M41" s="74"/>
      <c r="N41" s="77">
        <f>'1'!N41:O41</f>
        <v>0.5</v>
      </c>
      <c r="O41" s="77"/>
      <c r="P41" s="17">
        <f t="shared" si="2"/>
        <v>21499.800000000003</v>
      </c>
    </row>
    <row r="42" spans="2:16" hidden="1" x14ac:dyDescent="0.25">
      <c r="B42" s="4">
        <v>12</v>
      </c>
      <c r="C42" s="76" t="s">
        <v>23</v>
      </c>
      <c r="D42" s="76"/>
      <c r="E42" s="76"/>
      <c r="F42" s="76"/>
      <c r="G42" s="76"/>
      <c r="H42" s="76"/>
      <c r="I42" s="76"/>
      <c r="J42" s="76"/>
      <c r="K42" s="76"/>
      <c r="L42" s="74">
        <v>3583.3</v>
      </c>
      <c r="M42" s="74"/>
      <c r="N42" s="77">
        <f>'1'!N42:O42</f>
        <v>0</v>
      </c>
      <c r="O42" s="77"/>
      <c r="P42" s="17">
        <f t="shared" si="2"/>
        <v>0</v>
      </c>
    </row>
    <row r="43" spans="2:16" x14ac:dyDescent="0.25">
      <c r="B43" s="4">
        <v>12</v>
      </c>
      <c r="C43" s="76" t="s">
        <v>25</v>
      </c>
      <c r="D43" s="76"/>
      <c r="E43" s="76"/>
      <c r="F43" s="76"/>
      <c r="G43" s="76"/>
      <c r="H43" s="76"/>
      <c r="I43" s="76"/>
      <c r="J43" s="76"/>
      <c r="K43" s="76"/>
      <c r="L43" s="74">
        <v>3583.3</v>
      </c>
      <c r="M43" s="74"/>
      <c r="N43" s="77">
        <f>'1'!N43:O43</f>
        <v>0.5</v>
      </c>
      <c r="O43" s="77"/>
      <c r="P43" s="17">
        <f t="shared" si="2"/>
        <v>21499.800000000003</v>
      </c>
    </row>
    <row r="44" spans="2:16" x14ac:dyDescent="0.25">
      <c r="B44" s="38"/>
      <c r="C44" s="78" t="s">
        <v>26</v>
      </c>
      <c r="D44" s="78"/>
      <c r="E44" s="78"/>
      <c r="F44" s="78"/>
      <c r="G44" s="78"/>
      <c r="H44" s="78"/>
      <c r="I44" s="78"/>
      <c r="J44" s="78"/>
      <c r="K44" s="78"/>
      <c r="L44" s="79">
        <v>3583.3</v>
      </c>
      <c r="M44" s="79"/>
      <c r="N44" s="91">
        <f>SUM(N31:O43)</f>
        <v>16.808246099999998</v>
      </c>
      <c r="O44" s="91"/>
      <c r="P44" s="39">
        <f>SUM(P31:P43)</f>
        <v>722747.85900156025</v>
      </c>
    </row>
    <row r="45" spans="2:16" hidden="1" x14ac:dyDescent="0.25">
      <c r="B45" s="90" t="s">
        <v>27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</row>
    <row r="46" spans="2:16" hidden="1" x14ac:dyDescent="0.25">
      <c r="B46" s="4">
        <v>1</v>
      </c>
      <c r="C46" s="82" t="s">
        <v>73</v>
      </c>
      <c r="D46" s="83"/>
      <c r="E46" s="83"/>
      <c r="F46" s="83"/>
      <c r="G46" s="83"/>
      <c r="H46" s="83"/>
      <c r="I46" s="83"/>
      <c r="J46" s="83"/>
      <c r="K46" s="84"/>
      <c r="L46" s="74">
        <v>3583.3</v>
      </c>
      <c r="M46" s="74"/>
      <c r="N46" s="74"/>
      <c r="O46" s="74"/>
      <c r="P46" s="17">
        <f>N46*L46*6</f>
        <v>0</v>
      </c>
    </row>
    <row r="47" spans="2:16" hidden="1" x14ac:dyDescent="0.25">
      <c r="B47" s="4">
        <v>2</v>
      </c>
      <c r="C47" s="82" t="s">
        <v>74</v>
      </c>
      <c r="D47" s="83"/>
      <c r="E47" s="83"/>
      <c r="F47" s="83"/>
      <c r="G47" s="83"/>
      <c r="H47" s="83"/>
      <c r="I47" s="83"/>
      <c r="J47" s="83"/>
      <c r="K47" s="84"/>
      <c r="L47" s="74">
        <v>3583.3</v>
      </c>
      <c r="M47" s="74"/>
      <c r="N47" s="74"/>
      <c r="O47" s="74"/>
      <c r="P47" s="17">
        <f>N47*L47*6</f>
        <v>0</v>
      </c>
    </row>
    <row r="48" spans="2:16" hidden="1" x14ac:dyDescent="0.25">
      <c r="B48" s="4">
        <v>3</v>
      </c>
      <c r="C48" s="74"/>
      <c r="D48" s="74"/>
      <c r="E48" s="74"/>
      <c r="F48" s="74"/>
      <c r="G48" s="74"/>
      <c r="H48" s="74"/>
      <c r="I48" s="74"/>
      <c r="J48" s="74"/>
      <c r="K48" s="74"/>
      <c r="L48" s="74">
        <v>3583.3</v>
      </c>
      <c r="M48" s="74"/>
      <c r="N48" s="74"/>
      <c r="O48" s="74"/>
      <c r="P48" s="17"/>
    </row>
    <row r="49" spans="2:16" hidden="1" x14ac:dyDescent="0.25">
      <c r="B49" s="4">
        <v>4</v>
      </c>
      <c r="C49" s="74"/>
      <c r="D49" s="74"/>
      <c r="E49" s="74"/>
      <c r="F49" s="74"/>
      <c r="G49" s="74"/>
      <c r="H49" s="74"/>
      <c r="I49" s="74"/>
      <c r="J49" s="74"/>
      <c r="K49" s="74"/>
      <c r="L49" s="74">
        <v>3583.3</v>
      </c>
      <c r="M49" s="74"/>
      <c r="N49" s="74"/>
      <c r="O49" s="74"/>
      <c r="P49" s="17"/>
    </row>
    <row r="50" spans="2:16" hidden="1" x14ac:dyDescent="0.25">
      <c r="B50" s="38"/>
      <c r="C50" s="86" t="s">
        <v>29</v>
      </c>
      <c r="D50" s="87"/>
      <c r="E50" s="87"/>
      <c r="F50" s="87"/>
      <c r="G50" s="87"/>
      <c r="H50" s="87"/>
      <c r="I50" s="87"/>
      <c r="J50" s="87"/>
      <c r="K50" s="88"/>
      <c r="L50" s="79">
        <v>3583.3</v>
      </c>
      <c r="M50" s="79"/>
      <c r="N50" s="79">
        <f>SUM(N46:O49)</f>
        <v>0</v>
      </c>
      <c r="O50" s="79"/>
      <c r="P50" s="39">
        <f>SUM(P46:P49)</f>
        <v>0</v>
      </c>
    </row>
    <row r="51" spans="2:16" hidden="1" x14ac:dyDescent="0.25">
      <c r="B51" s="90" t="s">
        <v>30</v>
      </c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</row>
    <row r="52" spans="2:16" hidden="1" x14ac:dyDescent="0.25">
      <c r="B52" s="38"/>
      <c r="C52" s="86" t="s">
        <v>31</v>
      </c>
      <c r="D52" s="87"/>
      <c r="E52" s="87"/>
      <c r="F52" s="87"/>
      <c r="G52" s="87"/>
      <c r="H52" s="87"/>
      <c r="I52" s="87"/>
      <c r="J52" s="87"/>
      <c r="K52" s="88"/>
      <c r="L52" s="79">
        <v>3583.3</v>
      </c>
      <c r="M52" s="79"/>
      <c r="N52" s="79">
        <v>0</v>
      </c>
      <c r="O52" s="79"/>
      <c r="P52" s="38">
        <v>0</v>
      </c>
    </row>
    <row r="55" spans="2:16" x14ac:dyDescent="0.25">
      <c r="C55" s="1" t="s">
        <v>38</v>
      </c>
    </row>
    <row r="56" spans="2:16" x14ac:dyDescent="0.25">
      <c r="C56" s="1" t="s">
        <v>39</v>
      </c>
    </row>
    <row r="57" spans="2:16" x14ac:dyDescent="0.25">
      <c r="C57" s="4" t="s">
        <v>93</v>
      </c>
      <c r="D57" s="22">
        <f>N44</f>
        <v>16.808246099999998</v>
      </c>
    </row>
    <row r="60" spans="2:16" x14ac:dyDescent="0.25">
      <c r="C60" s="1" t="s">
        <v>40</v>
      </c>
      <c r="D60" s="2"/>
      <c r="E60" s="2"/>
      <c r="F60" s="2"/>
      <c r="G60" s="2"/>
      <c r="J60" s="1" t="s">
        <v>41</v>
      </c>
    </row>
    <row r="63" spans="2:16" ht="24.75" customHeight="1" x14ac:dyDescent="0.25">
      <c r="C63" s="1" t="s">
        <v>42</v>
      </c>
      <c r="D63" s="2"/>
      <c r="E63" s="2"/>
      <c r="F63" s="1" t="s">
        <v>43</v>
      </c>
    </row>
    <row r="64" spans="2:16" ht="25.5" customHeight="1" x14ac:dyDescent="0.25">
      <c r="D64" s="2"/>
      <c r="E64" s="2"/>
      <c r="F64" s="1" t="s">
        <v>43</v>
      </c>
    </row>
    <row r="65" spans="4:6" ht="24.75" customHeight="1" x14ac:dyDescent="0.25">
      <c r="D65" s="2"/>
      <c r="E65" s="2"/>
      <c r="F65" s="1" t="s">
        <v>43</v>
      </c>
    </row>
  </sheetData>
  <mergeCells count="115">
    <mergeCell ref="B51:P51"/>
    <mergeCell ref="C52:K52"/>
    <mergeCell ref="L52:M52"/>
    <mergeCell ref="N52:O52"/>
    <mergeCell ref="C49:K49"/>
    <mergeCell ref="L49:M49"/>
    <mergeCell ref="N49:O49"/>
    <mergeCell ref="C50:K50"/>
    <mergeCell ref="L50:M50"/>
    <mergeCell ref="N50:O50"/>
    <mergeCell ref="B45:P45"/>
    <mergeCell ref="C46:K46"/>
    <mergeCell ref="L46:M46"/>
    <mergeCell ref="N46:O46"/>
    <mergeCell ref="C47:K47"/>
    <mergeCell ref="L47:M47"/>
    <mergeCell ref="N47:O47"/>
    <mergeCell ref="C48:K48"/>
    <mergeCell ref="L48:M48"/>
    <mergeCell ref="N48:O48"/>
    <mergeCell ref="C42:K42"/>
    <mergeCell ref="L42:M42"/>
    <mergeCell ref="N42:O42"/>
    <mergeCell ref="C43:K43"/>
    <mergeCell ref="L43:M43"/>
    <mergeCell ref="N43:O43"/>
    <mergeCell ref="C44:K44"/>
    <mergeCell ref="L44:M44"/>
    <mergeCell ref="N44:O44"/>
    <mergeCell ref="C39:K39"/>
    <mergeCell ref="L39:M39"/>
    <mergeCell ref="N39:O39"/>
    <mergeCell ref="C40:K40"/>
    <mergeCell ref="L40:M40"/>
    <mergeCell ref="N40:O40"/>
    <mergeCell ref="C41:K41"/>
    <mergeCell ref="L41:M41"/>
    <mergeCell ref="N41:O41"/>
    <mergeCell ref="C36:K36"/>
    <mergeCell ref="L36:M36"/>
    <mergeCell ref="N36:O36"/>
    <mergeCell ref="C37:K37"/>
    <mergeCell ref="L37:M37"/>
    <mergeCell ref="N37:O37"/>
    <mergeCell ref="C38:K38"/>
    <mergeCell ref="L38:M38"/>
    <mergeCell ref="N38:O38"/>
    <mergeCell ref="C33:K33"/>
    <mergeCell ref="L33:M33"/>
    <mergeCell ref="N33:O33"/>
    <mergeCell ref="C34:K34"/>
    <mergeCell ref="L34:M34"/>
    <mergeCell ref="N34:O34"/>
    <mergeCell ref="C35:K35"/>
    <mergeCell ref="L35:M35"/>
    <mergeCell ref="N35:O35"/>
    <mergeCell ref="C29:K29"/>
    <mergeCell ref="L29:M29"/>
    <mergeCell ref="N29:O29"/>
    <mergeCell ref="B30:P30"/>
    <mergeCell ref="C31:K31"/>
    <mergeCell ref="L31:M31"/>
    <mergeCell ref="N31:O31"/>
    <mergeCell ref="C32:K32"/>
    <mergeCell ref="L32:M32"/>
    <mergeCell ref="N32:O32"/>
    <mergeCell ref="C28:K28"/>
    <mergeCell ref="L28:M28"/>
    <mergeCell ref="N28:O28"/>
    <mergeCell ref="D12:E12"/>
    <mergeCell ref="D14:E14"/>
    <mergeCell ref="D13:E13"/>
    <mergeCell ref="D15:E15"/>
    <mergeCell ref="D16:E16"/>
    <mergeCell ref="D17:E17"/>
    <mergeCell ref="D18:E18"/>
    <mergeCell ref="D19:E19"/>
    <mergeCell ref="D20:E20"/>
    <mergeCell ref="D22:E22"/>
    <mergeCell ref="B2:V2"/>
    <mergeCell ref="B3:V3"/>
    <mergeCell ref="B4:V4"/>
    <mergeCell ref="P12:Q12"/>
    <mergeCell ref="P13:Q13"/>
    <mergeCell ref="P14:Q14"/>
    <mergeCell ref="P15:Q15"/>
    <mergeCell ref="P16:Q16"/>
    <mergeCell ref="T12:U12"/>
    <mergeCell ref="T13:U13"/>
    <mergeCell ref="T14:U14"/>
    <mergeCell ref="T15:U15"/>
    <mergeCell ref="T16:U16"/>
    <mergeCell ref="T18:U18"/>
    <mergeCell ref="T19:U19"/>
    <mergeCell ref="T20:U20"/>
    <mergeCell ref="T22:U22"/>
    <mergeCell ref="P18:Q18"/>
    <mergeCell ref="P19:Q19"/>
    <mergeCell ref="P20:Q20"/>
    <mergeCell ref="P22:Q22"/>
    <mergeCell ref="R12:S12"/>
    <mergeCell ref="R14:S14"/>
    <mergeCell ref="R13:S13"/>
    <mergeCell ref="R15:S15"/>
    <mergeCell ref="R16:S16"/>
    <mergeCell ref="R18:S18"/>
    <mergeCell ref="R20:S20"/>
    <mergeCell ref="R19:S19"/>
    <mergeCell ref="R22:S22"/>
    <mergeCell ref="P17:Q17"/>
    <mergeCell ref="R17:S17"/>
    <mergeCell ref="T17:U17"/>
    <mergeCell ref="P21:Q21"/>
    <mergeCell ref="R21:S21"/>
    <mergeCell ref="T21:U21"/>
  </mergeCells>
  <pageMargins left="0.25" right="0.25" top="0.75" bottom="0.75" header="0.3" footer="0.3"/>
  <pageSetup paperSize="9" scale="4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B1:V65"/>
  <sheetViews>
    <sheetView view="pageBreakPreview" topLeftCell="A10" zoomScale="77" zoomScaleNormal="84" zoomScaleSheetLayoutView="77" workbookViewId="0">
      <selection activeCell="L17" sqref="L17"/>
    </sheetView>
  </sheetViews>
  <sheetFormatPr defaultRowHeight="15.75" x14ac:dyDescent="0.25"/>
  <cols>
    <col min="1" max="1" width="3" style="1" customWidth="1"/>
    <col min="2" max="2" width="4" style="1" bestFit="1" customWidth="1"/>
    <col min="3" max="3" width="39.140625" style="1" customWidth="1"/>
    <col min="4" max="4" width="13.28515625" style="1" customWidth="1"/>
    <col min="5" max="5" width="11.7109375" style="1" customWidth="1"/>
    <col min="6" max="6" width="10" style="1" bestFit="1" customWidth="1"/>
    <col min="7" max="7" width="1.5703125" style="1" hidden="1" customWidth="1"/>
    <col min="8" max="8" width="12.5703125" style="1" hidden="1" customWidth="1"/>
    <col min="9" max="9" width="1.5703125" style="1" customWidth="1"/>
    <col min="10" max="10" width="11.140625" style="1" customWidth="1"/>
    <col min="11" max="11" width="2.28515625" style="1" customWidth="1"/>
    <col min="12" max="12" width="11.28515625" style="1" bestFit="1" customWidth="1"/>
    <col min="13" max="13" width="1.5703125" style="1" customWidth="1"/>
    <col min="14" max="14" width="15.7109375" style="1" customWidth="1"/>
    <col min="15" max="15" width="1.7109375" style="1" customWidth="1"/>
    <col min="16" max="16" width="12" style="1" customWidth="1"/>
    <col min="17" max="17" width="10.28515625" style="1" customWidth="1"/>
    <col min="18" max="18" width="11.7109375" style="1" customWidth="1"/>
    <col min="19" max="19" width="10.28515625" style="1" customWidth="1"/>
    <col min="20" max="20" width="14.5703125" style="1" customWidth="1"/>
    <col min="21" max="21" width="10.85546875" style="1" customWidth="1"/>
    <col min="22" max="22" width="12.85546875" style="1" customWidth="1"/>
    <col min="23" max="16384" width="9.140625" style="1"/>
  </cols>
  <sheetData>
    <row r="1" spans="2:22" ht="16.5" thickBot="1" x14ac:dyDescent="0.3"/>
    <row r="2" spans="2:22" x14ac:dyDescent="0.25">
      <c r="B2" s="63" t="s">
        <v>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5"/>
    </row>
    <row r="3" spans="2:22" x14ac:dyDescent="0.25">
      <c r="B3" s="66" t="str">
        <f>'1'!B3:V3</f>
        <v>с 1.01.2016 по 31.12.2016 г.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/>
    </row>
    <row r="4" spans="2:22" ht="16.5" thickBot="1" x14ac:dyDescent="0.3">
      <c r="B4" s="69" t="s">
        <v>32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1"/>
    </row>
    <row r="5" spans="2:22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2:22" x14ac:dyDescent="0.25">
      <c r="C6" s="29" t="s">
        <v>65</v>
      </c>
    </row>
    <row r="8" spans="2:22" x14ac:dyDescent="0.25">
      <c r="C8" s="1" t="s">
        <v>33</v>
      </c>
      <c r="D8" s="2">
        <v>4051</v>
      </c>
    </row>
    <row r="9" spans="2:22" x14ac:dyDescent="0.25">
      <c r="C9" s="1" t="s">
        <v>35</v>
      </c>
      <c r="D9" s="3">
        <v>244</v>
      </c>
    </row>
    <row r="10" spans="2:22" x14ac:dyDescent="0.25">
      <c r="C10" s="1" t="s">
        <v>36</v>
      </c>
      <c r="D10" s="3">
        <v>90</v>
      </c>
    </row>
    <row r="12" spans="2:22" ht="63" x14ac:dyDescent="0.25">
      <c r="C12" s="27" t="s">
        <v>1</v>
      </c>
      <c r="D12" s="59" t="str">
        <f>'1'!D12:E12</f>
        <v>Содержание общего имущества дома</v>
      </c>
      <c r="E12" s="60"/>
      <c r="F12" s="27" t="s">
        <v>8</v>
      </c>
      <c r="G12" s="7"/>
      <c r="H12" s="27" t="s">
        <v>9</v>
      </c>
      <c r="I12" s="7"/>
      <c r="J12" s="28" t="str">
        <f>'1'!J12</f>
        <v>Вывоз ТБО (руб./чел.)</v>
      </c>
      <c r="K12" s="7"/>
      <c r="L12" s="28" t="s">
        <v>67</v>
      </c>
      <c r="M12" s="7"/>
      <c r="N12" s="28" t="str">
        <f>'1'!N12</f>
        <v>Обслуживание антены (руб./лиц.сч.)</v>
      </c>
      <c r="O12" s="8"/>
      <c r="P12" s="59" t="str">
        <f>'1'!P12</f>
        <v xml:space="preserve">Хол. вода </v>
      </c>
      <c r="Q12" s="60"/>
      <c r="R12" s="59" t="str">
        <f>'1'!R12</f>
        <v xml:space="preserve">Гор. вода </v>
      </c>
      <c r="S12" s="60"/>
      <c r="T12" s="59" t="str">
        <f>'1'!T12</f>
        <v>Канализация</v>
      </c>
      <c r="U12" s="60"/>
      <c r="V12" s="27" t="s">
        <v>10</v>
      </c>
    </row>
    <row r="13" spans="2:22" x14ac:dyDescent="0.25">
      <c r="C13" s="9" t="s">
        <v>2</v>
      </c>
      <c r="D13" s="57"/>
      <c r="E13" s="58"/>
      <c r="F13" s="11"/>
      <c r="G13" s="7"/>
      <c r="H13" s="11"/>
      <c r="I13" s="7"/>
      <c r="J13" s="11"/>
      <c r="K13" s="7"/>
      <c r="L13" s="11"/>
      <c r="M13" s="7"/>
      <c r="N13" s="11"/>
      <c r="O13" s="7"/>
      <c r="P13" s="57"/>
      <c r="Q13" s="58"/>
      <c r="R13" s="57"/>
      <c r="S13" s="58"/>
      <c r="T13" s="57"/>
      <c r="U13" s="58"/>
      <c r="V13" s="30">
        <f>V14</f>
        <v>-779748.85999999987</v>
      </c>
    </row>
    <row r="14" spans="2:22" ht="47.25" x14ac:dyDescent="0.25">
      <c r="C14" s="10" t="str">
        <f>'1'!C14</f>
        <v>Остаток с предыдущего периода (задолженность(-), переплата (+)) на 01.01.2016г.</v>
      </c>
      <c r="D14" s="57"/>
      <c r="E14" s="58"/>
      <c r="F14" s="11">
        <v>-191808.12</v>
      </c>
      <c r="G14" s="7"/>
      <c r="H14" s="11"/>
      <c r="I14" s="7"/>
      <c r="J14" s="11">
        <v>-28966.98</v>
      </c>
      <c r="K14" s="7"/>
      <c r="L14" s="11">
        <v>-322189.90000000002</v>
      </c>
      <c r="M14" s="7"/>
      <c r="N14" s="11">
        <v>-12239.1</v>
      </c>
      <c r="O14" s="7"/>
      <c r="P14" s="57">
        <v>-27134.22</v>
      </c>
      <c r="Q14" s="58"/>
      <c r="R14" s="57">
        <v>-135176.71</v>
      </c>
      <c r="S14" s="58"/>
      <c r="T14" s="57">
        <v>-62233.83</v>
      </c>
      <c r="U14" s="58"/>
      <c r="V14" s="14">
        <f>F14+H14+J14+L14+N14+P14+Q14+R14+T14+U14+S14</f>
        <v>-779748.85999999987</v>
      </c>
    </row>
    <row r="15" spans="2:22" x14ac:dyDescent="0.25">
      <c r="C15" s="9" t="s">
        <v>3</v>
      </c>
      <c r="D15" s="57"/>
      <c r="E15" s="58"/>
      <c r="F15" s="11">
        <v>736502.92</v>
      </c>
      <c r="G15" s="7"/>
      <c r="H15" s="14"/>
      <c r="I15" s="7"/>
      <c r="J15" s="14">
        <v>113372.71</v>
      </c>
      <c r="K15" s="7"/>
      <c r="L15" s="11">
        <f>1265639.68+128317.5</f>
        <v>1393957.18</v>
      </c>
      <c r="M15" s="7"/>
      <c r="N15" s="11">
        <v>44250</v>
      </c>
      <c r="O15" s="7"/>
      <c r="P15" s="61">
        <f>89829.22+3107.68</f>
        <v>92936.9</v>
      </c>
      <c r="Q15" s="62"/>
      <c r="R15" s="61">
        <f>424787.61+13469.55</f>
        <v>438257.16</v>
      </c>
      <c r="S15" s="62"/>
      <c r="T15" s="61">
        <f>111576.55+79975.87</f>
        <v>191552.41999999998</v>
      </c>
      <c r="U15" s="62"/>
      <c r="V15" s="11">
        <f>F15+H15+J15+L15+N15+P15+Q15+R15+T15+U15+S15</f>
        <v>3010829.29</v>
      </c>
    </row>
    <row r="16" spans="2:22" x14ac:dyDescent="0.25">
      <c r="C16" s="9" t="s">
        <v>4</v>
      </c>
      <c r="D16" s="57"/>
      <c r="E16" s="58"/>
      <c r="F16" s="11">
        <f>3167.91+688502.64</f>
        <v>691670.55</v>
      </c>
      <c r="G16" s="7"/>
      <c r="H16" s="14"/>
      <c r="I16" s="7"/>
      <c r="J16" s="14">
        <v>111022.69</v>
      </c>
      <c r="K16" s="7"/>
      <c r="L16" s="11">
        <f>1185489.19+74883.71</f>
        <v>1260372.8999999999</v>
      </c>
      <c r="M16" s="7"/>
      <c r="N16" s="14">
        <v>40796.120000000003</v>
      </c>
      <c r="O16" s="7"/>
      <c r="P16" s="61">
        <f>86336.71+1359.37</f>
        <v>87696.08</v>
      </c>
      <c r="Q16" s="62"/>
      <c r="R16" s="61">
        <f>407513.78+5540.73</f>
        <v>413054.51</v>
      </c>
      <c r="S16" s="62"/>
      <c r="T16" s="61">
        <f>110306.8+73932.36</f>
        <v>184239.16</v>
      </c>
      <c r="U16" s="62"/>
      <c r="V16" s="12">
        <f t="shared" ref="V16:V17" si="0">F16+H16+J16+L16+N16+P16+Q16+R16+T16+U16+S16</f>
        <v>2788852.01</v>
      </c>
    </row>
    <row r="17" spans="2:22" ht="31.5" x14ac:dyDescent="0.25">
      <c r="C17" s="10" t="s">
        <v>5</v>
      </c>
      <c r="D17" s="57"/>
      <c r="E17" s="58"/>
      <c r="F17" s="14">
        <f>P44+P50</f>
        <v>850595.87941319996</v>
      </c>
      <c r="G17" s="7"/>
      <c r="H17" s="11">
        <f>P52</f>
        <v>0</v>
      </c>
      <c r="I17" s="7"/>
      <c r="J17" s="14">
        <f>J15+18637.28</f>
        <v>132009.99</v>
      </c>
      <c r="K17" s="7"/>
      <c r="L17" s="11">
        <f>(D8*L20*6)+(D8*L21*6)-151102.56</f>
        <v>1127879.1599999999</v>
      </c>
      <c r="M17" s="7"/>
      <c r="N17" s="14">
        <f>'1'!N17</f>
        <v>11336.326999999999</v>
      </c>
      <c r="O17" s="7"/>
      <c r="P17" s="61">
        <f>P15+Q15+114670.71</f>
        <v>207607.61</v>
      </c>
      <c r="Q17" s="62"/>
      <c r="R17" s="61">
        <f>R15+S15</f>
        <v>438257.16</v>
      </c>
      <c r="S17" s="62"/>
      <c r="T17" s="61">
        <f>T15+U15</f>
        <v>191552.41999999998</v>
      </c>
      <c r="U17" s="62"/>
      <c r="V17" s="12">
        <f t="shared" si="0"/>
        <v>2959238.5464132</v>
      </c>
    </row>
    <row r="18" spans="2:22" ht="31.5" x14ac:dyDescent="0.25">
      <c r="C18" s="10" t="str">
        <f>'1'!C18</f>
        <v>Текущий остаток (задолженность (-), переплата (+)) на 31.12.2016 г.</v>
      </c>
      <c r="D18" s="57"/>
      <c r="E18" s="58"/>
      <c r="F18" s="31">
        <f>F16-F15+F14</f>
        <v>-236640.49</v>
      </c>
      <c r="G18" s="40"/>
      <c r="H18" s="31">
        <f>H16-H15+H14</f>
        <v>0</v>
      </c>
      <c r="I18" s="40"/>
      <c r="J18" s="31">
        <f>J16-J15+J14</f>
        <v>-31317.000000000004</v>
      </c>
      <c r="K18" s="40"/>
      <c r="L18" s="31">
        <f>L16-L15+L14</f>
        <v>-455774.18000000005</v>
      </c>
      <c r="M18" s="40"/>
      <c r="N18" s="31">
        <f>N16-N15+N14</f>
        <v>-15692.979999999998</v>
      </c>
      <c r="O18" s="40"/>
      <c r="P18" s="55">
        <f t="shared" ref="P18:V18" si="1">P16-P15+P14</f>
        <v>-32375.039999999994</v>
      </c>
      <c r="Q18" s="56"/>
      <c r="R18" s="55">
        <f>R16-R15+R14</f>
        <v>-160379.35999999996</v>
      </c>
      <c r="S18" s="56"/>
      <c r="T18" s="55">
        <f t="shared" si="1"/>
        <v>-69547.089999999982</v>
      </c>
      <c r="U18" s="56"/>
      <c r="V18" s="31">
        <f t="shared" si="1"/>
        <v>-1001726.1400000001</v>
      </c>
    </row>
    <row r="19" spans="2:22" x14ac:dyDescent="0.25">
      <c r="C19" s="9" t="s">
        <v>6</v>
      </c>
      <c r="D19" s="57"/>
      <c r="E19" s="58"/>
      <c r="F19" s="11"/>
      <c r="G19" s="7"/>
      <c r="H19" s="11"/>
      <c r="I19" s="7"/>
      <c r="J19" s="11"/>
      <c r="K19" s="7"/>
      <c r="L19" s="11"/>
      <c r="M19" s="7"/>
      <c r="N19" s="11"/>
      <c r="O19" s="7"/>
      <c r="P19" s="57"/>
      <c r="Q19" s="58"/>
      <c r="R19" s="57"/>
      <c r="S19" s="58"/>
      <c r="T19" s="57"/>
      <c r="U19" s="58"/>
      <c r="V19" s="30">
        <f>F18+H18+J18+L18+N18+P18+Q18+R18+S18+T18+U18</f>
        <v>-1001726.14</v>
      </c>
    </row>
    <row r="20" spans="2:22" x14ac:dyDescent="0.25">
      <c r="C20" s="9" t="str">
        <f>'1'!C20</f>
        <v>Тариф (руб/м²), 1-е полугодие</v>
      </c>
      <c r="D20" s="57"/>
      <c r="E20" s="58"/>
      <c r="F20" s="13">
        <f>'1'!F20</f>
        <v>15.31</v>
      </c>
      <c r="G20" s="7"/>
      <c r="H20" s="11">
        <f>'1'!H20</f>
        <v>37.700000000000003</v>
      </c>
      <c r="I20" s="7"/>
      <c r="J20" s="13">
        <f>'1'!J20</f>
        <v>44.32</v>
      </c>
      <c r="K20" s="7"/>
      <c r="L20" s="11">
        <v>25.94</v>
      </c>
      <c r="M20" s="7"/>
      <c r="N20" s="11">
        <f>'1'!N20</f>
        <v>50</v>
      </c>
      <c r="O20" s="7"/>
      <c r="P20" s="57" t="str">
        <f>'1'!P20</f>
        <v xml:space="preserve">15,02 руб./м3 </v>
      </c>
      <c r="Q20" s="58"/>
      <c r="R20" s="57" t="str">
        <f>'1'!R20</f>
        <v>99,55 руб./м3</v>
      </c>
      <c r="S20" s="58"/>
      <c r="T20" s="57" t="str">
        <f>'1'!T20</f>
        <v>18,66 руб./м3</v>
      </c>
      <c r="U20" s="58"/>
      <c r="V20" s="11"/>
    </row>
    <row r="21" spans="2:22" x14ac:dyDescent="0.25">
      <c r="C21" s="9" t="str">
        <f>'1'!C21</f>
        <v>Тариф (руб/м²), 2-е полугодие</v>
      </c>
      <c r="D21" s="50"/>
      <c r="E21" s="51"/>
      <c r="F21" s="21">
        <f>'1'!F21</f>
        <v>15.31</v>
      </c>
      <c r="G21" s="7"/>
      <c r="H21" s="21"/>
      <c r="I21" s="7"/>
      <c r="J21" s="21">
        <f>'1'!J21</f>
        <v>44.32</v>
      </c>
      <c r="K21" s="7"/>
      <c r="L21" s="21">
        <f>'1'!L21</f>
        <v>26.68</v>
      </c>
      <c r="M21" s="7"/>
      <c r="N21" s="21">
        <f>'1'!N21</f>
        <v>50</v>
      </c>
      <c r="O21" s="7"/>
      <c r="P21" s="57" t="str">
        <f>'1'!P21:Q21</f>
        <v>15,63 руб./м³</v>
      </c>
      <c r="Q21" s="58"/>
      <c r="R21" s="57" t="str">
        <f>'1'!R21:S21</f>
        <v>102,59 руб./м³</v>
      </c>
      <c r="S21" s="58"/>
      <c r="T21" s="57" t="str">
        <f>'1'!T21:U21</f>
        <v>19,41 руб./м³</v>
      </c>
      <c r="U21" s="58"/>
      <c r="V21" s="21"/>
    </row>
    <row r="22" spans="2:22" x14ac:dyDescent="0.25">
      <c r="C22" s="9" t="s">
        <v>44</v>
      </c>
      <c r="D22" s="57"/>
      <c r="E22" s="58"/>
      <c r="F22" s="18">
        <f>N44+N50</f>
        <v>17.4976524194273</v>
      </c>
      <c r="G22" s="7"/>
      <c r="H22" s="11"/>
      <c r="I22" s="7"/>
      <c r="J22" s="11"/>
      <c r="K22" s="7"/>
      <c r="L22" s="11"/>
      <c r="M22" s="7"/>
      <c r="N22" s="11"/>
      <c r="O22" s="7"/>
      <c r="P22" s="57"/>
      <c r="Q22" s="58"/>
      <c r="R22" s="57"/>
      <c r="S22" s="58"/>
      <c r="T22" s="57"/>
      <c r="U22" s="58"/>
      <c r="V22" s="11"/>
    </row>
    <row r="24" spans="2:22" x14ac:dyDescent="0.25">
      <c r="C24" s="5" t="s">
        <v>11</v>
      </c>
    </row>
    <row r="25" spans="2:22" x14ac:dyDescent="0.25">
      <c r="C25" s="1" t="s">
        <v>12</v>
      </c>
      <c r="J25" s="34">
        <f>V19/V15*100</f>
        <v>-33.270771721501355</v>
      </c>
      <c r="K25" s="35" t="s">
        <v>37</v>
      </c>
    </row>
    <row r="28" spans="2:22" ht="33" customHeight="1" x14ac:dyDescent="0.25">
      <c r="B28" s="27" t="s">
        <v>13</v>
      </c>
      <c r="C28" s="72" t="s">
        <v>14</v>
      </c>
      <c r="D28" s="72"/>
      <c r="E28" s="72"/>
      <c r="F28" s="72"/>
      <c r="G28" s="72"/>
      <c r="H28" s="72"/>
      <c r="I28" s="72"/>
      <c r="J28" s="72"/>
      <c r="K28" s="72"/>
      <c r="L28" s="73" t="s">
        <v>45</v>
      </c>
      <c r="M28" s="73"/>
      <c r="N28" s="73" t="s">
        <v>46</v>
      </c>
      <c r="O28" s="73"/>
      <c r="P28" s="27" t="s">
        <v>28</v>
      </c>
    </row>
    <row r="29" spans="2:22" x14ac:dyDescent="0.25">
      <c r="B29" s="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4"/>
    </row>
    <row r="30" spans="2:22" x14ac:dyDescent="0.25">
      <c r="B30" s="90" t="s">
        <v>7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</row>
    <row r="31" spans="2:22" x14ac:dyDescent="0.25">
      <c r="B31" s="4">
        <v>1</v>
      </c>
      <c r="C31" s="76" t="s">
        <v>15</v>
      </c>
      <c r="D31" s="76"/>
      <c r="E31" s="76"/>
      <c r="F31" s="76"/>
      <c r="G31" s="76"/>
      <c r="H31" s="76"/>
      <c r="I31" s="76"/>
      <c r="J31" s="76"/>
      <c r="K31" s="76"/>
      <c r="L31" s="74">
        <v>4051</v>
      </c>
      <c r="M31" s="74"/>
      <c r="N31" s="77">
        <f>'1'!N31:O31</f>
        <v>3.5</v>
      </c>
      <c r="O31" s="77"/>
      <c r="P31" s="17">
        <f>L31*N31*12</f>
        <v>170142</v>
      </c>
    </row>
    <row r="32" spans="2:22" x14ac:dyDescent="0.25">
      <c r="B32" s="4">
        <v>2</v>
      </c>
      <c r="C32" s="76" t="s">
        <v>34</v>
      </c>
      <c r="D32" s="76"/>
      <c r="E32" s="76"/>
      <c r="F32" s="76"/>
      <c r="G32" s="76"/>
      <c r="H32" s="76"/>
      <c r="I32" s="76"/>
      <c r="J32" s="76"/>
      <c r="K32" s="76"/>
      <c r="L32" s="74">
        <v>4051</v>
      </c>
      <c r="M32" s="74"/>
      <c r="N32" s="77">
        <f>'1'!N32:O32</f>
        <v>0.98752150000000005</v>
      </c>
      <c r="O32" s="77"/>
      <c r="P32" s="17">
        <f t="shared" ref="P32:P43" si="2">L32*N32*12</f>
        <v>48005.395157999999</v>
      </c>
    </row>
    <row r="33" spans="2:16" x14ac:dyDescent="0.25">
      <c r="B33" s="4">
        <v>3</v>
      </c>
      <c r="C33" s="76" t="s">
        <v>16</v>
      </c>
      <c r="D33" s="76"/>
      <c r="E33" s="76"/>
      <c r="F33" s="76"/>
      <c r="G33" s="76"/>
      <c r="H33" s="76"/>
      <c r="I33" s="76"/>
      <c r="J33" s="76"/>
      <c r="K33" s="76"/>
      <c r="L33" s="74">
        <v>4051</v>
      </c>
      <c r="M33" s="74"/>
      <c r="N33" s="77">
        <f>'1'!N33:O33</f>
        <v>2.8257476000000001</v>
      </c>
      <c r="O33" s="77"/>
      <c r="P33" s="17">
        <f t="shared" si="2"/>
        <v>137365.24233119999</v>
      </c>
    </row>
    <row r="34" spans="2:16" x14ac:dyDescent="0.25">
      <c r="B34" s="4">
        <v>4</v>
      </c>
      <c r="C34" s="76" t="s">
        <v>17</v>
      </c>
      <c r="D34" s="76"/>
      <c r="E34" s="76"/>
      <c r="F34" s="76"/>
      <c r="G34" s="76"/>
      <c r="H34" s="76"/>
      <c r="I34" s="76"/>
      <c r="J34" s="76"/>
      <c r="K34" s="76"/>
      <c r="L34" s="74">
        <v>4051</v>
      </c>
      <c r="M34" s="74"/>
      <c r="N34" s="77">
        <f>'1'!N34:O34</f>
        <v>1</v>
      </c>
      <c r="O34" s="77"/>
      <c r="P34" s="17">
        <f t="shared" si="2"/>
        <v>48612</v>
      </c>
    </row>
    <row r="35" spans="2:16" x14ac:dyDescent="0.25">
      <c r="B35" s="4">
        <v>5</v>
      </c>
      <c r="C35" s="76" t="s">
        <v>18</v>
      </c>
      <c r="D35" s="76"/>
      <c r="E35" s="76"/>
      <c r="F35" s="76"/>
      <c r="G35" s="76"/>
      <c r="H35" s="76"/>
      <c r="I35" s="76"/>
      <c r="J35" s="76"/>
      <c r="K35" s="76"/>
      <c r="L35" s="74">
        <v>4051</v>
      </c>
      <c r="M35" s="74"/>
      <c r="N35" s="77">
        <f>'1'!N35:O35</f>
        <v>2</v>
      </c>
      <c r="O35" s="77"/>
      <c r="P35" s="17">
        <f t="shared" si="2"/>
        <v>97224</v>
      </c>
    </row>
    <row r="36" spans="2:16" x14ac:dyDescent="0.25">
      <c r="B36" s="4">
        <v>6</v>
      </c>
      <c r="C36" s="76" t="s">
        <v>24</v>
      </c>
      <c r="D36" s="76"/>
      <c r="E36" s="76"/>
      <c r="F36" s="76"/>
      <c r="G36" s="76"/>
      <c r="H36" s="76"/>
      <c r="I36" s="76"/>
      <c r="J36" s="76"/>
      <c r="K36" s="76"/>
      <c r="L36" s="74">
        <v>4051</v>
      </c>
      <c r="M36" s="74"/>
      <c r="N36" s="77">
        <f>'1'!N36:O36</f>
        <v>3</v>
      </c>
      <c r="O36" s="77"/>
      <c r="P36" s="17">
        <f t="shared" si="2"/>
        <v>145836</v>
      </c>
    </row>
    <row r="37" spans="2:16" x14ac:dyDescent="0.25">
      <c r="B37" s="4">
        <v>7</v>
      </c>
      <c r="C37" s="76" t="s">
        <v>19</v>
      </c>
      <c r="D37" s="76"/>
      <c r="E37" s="76"/>
      <c r="F37" s="76"/>
      <c r="G37" s="76"/>
      <c r="H37" s="76"/>
      <c r="I37" s="76"/>
      <c r="J37" s="76"/>
      <c r="K37" s="76"/>
      <c r="L37" s="74">
        <v>4051</v>
      </c>
      <c r="M37" s="74"/>
      <c r="N37" s="77">
        <f>'1'!N37:O37</f>
        <v>0.5</v>
      </c>
      <c r="O37" s="77"/>
      <c r="P37" s="17">
        <f t="shared" si="2"/>
        <v>24306</v>
      </c>
    </row>
    <row r="38" spans="2:16" x14ac:dyDescent="0.25">
      <c r="B38" s="4">
        <v>8</v>
      </c>
      <c r="C38" s="76" t="s">
        <v>20</v>
      </c>
      <c r="D38" s="76"/>
      <c r="E38" s="76"/>
      <c r="F38" s="76"/>
      <c r="G38" s="76"/>
      <c r="H38" s="76"/>
      <c r="I38" s="76"/>
      <c r="J38" s="76"/>
      <c r="K38" s="76"/>
      <c r="L38" s="74">
        <v>4051</v>
      </c>
      <c r="M38" s="74"/>
      <c r="N38" s="77">
        <f>'1'!N38:O38</f>
        <v>1.694977</v>
      </c>
      <c r="O38" s="77"/>
      <c r="P38" s="17">
        <f t="shared" si="2"/>
        <v>82396.221923999998</v>
      </c>
    </row>
    <row r="39" spans="2:16" x14ac:dyDescent="0.25">
      <c r="B39" s="4">
        <v>9</v>
      </c>
      <c r="C39" s="76" t="s">
        <v>84</v>
      </c>
      <c r="D39" s="76"/>
      <c r="E39" s="76"/>
      <c r="F39" s="76"/>
      <c r="G39" s="76"/>
      <c r="H39" s="76"/>
      <c r="I39" s="76"/>
      <c r="J39" s="76"/>
      <c r="K39" s="76"/>
      <c r="L39" s="74">
        <v>4051</v>
      </c>
      <c r="M39" s="74"/>
      <c r="N39" s="77">
        <f>'1'!N39:O39</f>
        <v>0.1</v>
      </c>
      <c r="O39" s="77"/>
      <c r="P39" s="17">
        <f t="shared" si="2"/>
        <v>4861.2000000000007</v>
      </c>
    </row>
    <row r="40" spans="2:16" x14ac:dyDescent="0.25">
      <c r="B40" s="4">
        <v>10</v>
      </c>
      <c r="C40" s="76" t="s">
        <v>21</v>
      </c>
      <c r="D40" s="76"/>
      <c r="E40" s="76"/>
      <c r="F40" s="76"/>
      <c r="G40" s="76"/>
      <c r="H40" s="76"/>
      <c r="I40" s="76"/>
      <c r="J40" s="76"/>
      <c r="K40" s="76"/>
      <c r="L40" s="74">
        <v>4051</v>
      </c>
      <c r="M40" s="74"/>
      <c r="N40" s="77">
        <f>'1'!N40:O40</f>
        <v>0.2</v>
      </c>
      <c r="O40" s="77"/>
      <c r="P40" s="17">
        <f t="shared" si="2"/>
        <v>9722.4000000000015</v>
      </c>
    </row>
    <row r="41" spans="2:16" x14ac:dyDescent="0.25">
      <c r="B41" s="4">
        <v>11</v>
      </c>
      <c r="C41" s="76" t="s">
        <v>22</v>
      </c>
      <c r="D41" s="76"/>
      <c r="E41" s="76"/>
      <c r="F41" s="76"/>
      <c r="G41" s="76"/>
      <c r="H41" s="76"/>
      <c r="I41" s="76"/>
      <c r="J41" s="76"/>
      <c r="K41" s="76"/>
      <c r="L41" s="74">
        <v>4051</v>
      </c>
      <c r="M41" s="74"/>
      <c r="N41" s="77">
        <f>'1'!N41:O41</f>
        <v>0.5</v>
      </c>
      <c r="O41" s="77"/>
      <c r="P41" s="17">
        <f t="shared" si="2"/>
        <v>24306</v>
      </c>
    </row>
    <row r="42" spans="2:16" hidden="1" x14ac:dyDescent="0.25">
      <c r="B42" s="4">
        <v>12</v>
      </c>
      <c r="C42" s="76" t="s">
        <v>23</v>
      </c>
      <c r="D42" s="76"/>
      <c r="E42" s="76"/>
      <c r="F42" s="76"/>
      <c r="G42" s="76"/>
      <c r="H42" s="76"/>
      <c r="I42" s="76"/>
      <c r="J42" s="76"/>
      <c r="K42" s="76"/>
      <c r="L42" s="74">
        <v>4051</v>
      </c>
      <c r="M42" s="74"/>
      <c r="N42" s="77">
        <f>'1'!N42:O42</f>
        <v>0</v>
      </c>
      <c r="O42" s="77"/>
      <c r="P42" s="17">
        <f t="shared" si="2"/>
        <v>0</v>
      </c>
    </row>
    <row r="43" spans="2:16" x14ac:dyDescent="0.25">
      <c r="B43" s="4">
        <v>12</v>
      </c>
      <c r="C43" s="76" t="s">
        <v>25</v>
      </c>
      <c r="D43" s="76"/>
      <c r="E43" s="76"/>
      <c r="F43" s="76"/>
      <c r="G43" s="76"/>
      <c r="H43" s="76"/>
      <c r="I43" s="76"/>
      <c r="J43" s="76"/>
      <c r="K43" s="76"/>
      <c r="L43" s="74">
        <v>4051</v>
      </c>
      <c r="M43" s="74"/>
      <c r="N43" s="77">
        <f>'1'!N43:O43</f>
        <v>0.5</v>
      </c>
      <c r="O43" s="77"/>
      <c r="P43" s="17">
        <f t="shared" si="2"/>
        <v>24306</v>
      </c>
    </row>
    <row r="44" spans="2:16" x14ac:dyDescent="0.25">
      <c r="B44" s="38"/>
      <c r="C44" s="78" t="s">
        <v>26</v>
      </c>
      <c r="D44" s="78"/>
      <c r="E44" s="78"/>
      <c r="F44" s="78"/>
      <c r="G44" s="78"/>
      <c r="H44" s="78"/>
      <c r="I44" s="78"/>
      <c r="J44" s="78"/>
      <c r="K44" s="78"/>
      <c r="L44" s="79">
        <v>4051</v>
      </c>
      <c r="M44" s="79"/>
      <c r="N44" s="91">
        <f>SUM(N31:O43)</f>
        <v>16.808246099999998</v>
      </c>
      <c r="O44" s="91"/>
      <c r="P44" s="39">
        <f>SUM(P31:P43)</f>
        <v>817082.45941319992</v>
      </c>
    </row>
    <row r="45" spans="2:16" x14ac:dyDescent="0.25">
      <c r="B45" s="90" t="s">
        <v>27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</row>
    <row r="46" spans="2:16" x14ac:dyDescent="0.25">
      <c r="B46" s="4">
        <v>1</v>
      </c>
      <c r="C46" s="82" t="s">
        <v>115</v>
      </c>
      <c r="D46" s="83"/>
      <c r="E46" s="83"/>
      <c r="F46" s="83"/>
      <c r="G46" s="83"/>
      <c r="H46" s="83"/>
      <c r="I46" s="83"/>
      <c r="J46" s="83"/>
      <c r="K46" s="84"/>
      <c r="L46" s="74">
        <v>4051</v>
      </c>
      <c r="M46" s="74"/>
      <c r="N46" s="77">
        <f>P46/L46/12</f>
        <v>0.68940631942730191</v>
      </c>
      <c r="O46" s="77"/>
      <c r="P46" s="4">
        <v>33513.42</v>
      </c>
    </row>
    <row r="47" spans="2:16" hidden="1" x14ac:dyDescent="0.25">
      <c r="B47" s="4">
        <v>2</v>
      </c>
      <c r="C47" s="82" t="s">
        <v>74</v>
      </c>
      <c r="D47" s="83"/>
      <c r="E47" s="83"/>
      <c r="F47" s="83"/>
      <c r="G47" s="83"/>
      <c r="H47" s="83"/>
      <c r="I47" s="83"/>
      <c r="J47" s="83"/>
      <c r="K47" s="84"/>
      <c r="L47" s="74">
        <v>4051</v>
      </c>
      <c r="M47" s="74"/>
      <c r="N47" s="74"/>
      <c r="O47" s="74"/>
      <c r="P47" s="4">
        <f>L47*N47*6</f>
        <v>0</v>
      </c>
    </row>
    <row r="48" spans="2:16" hidden="1" x14ac:dyDescent="0.25">
      <c r="B48" s="4">
        <v>3</v>
      </c>
      <c r="C48" s="82" t="s">
        <v>87</v>
      </c>
      <c r="D48" s="83"/>
      <c r="E48" s="83"/>
      <c r="F48" s="83"/>
      <c r="G48" s="83"/>
      <c r="H48" s="83"/>
      <c r="I48" s="83"/>
      <c r="J48" s="83"/>
      <c r="K48" s="84"/>
      <c r="L48" s="74">
        <v>4051</v>
      </c>
      <c r="M48" s="74"/>
      <c r="N48" s="77"/>
      <c r="O48" s="77"/>
      <c r="P48" s="4"/>
    </row>
    <row r="49" spans="2:16" hidden="1" x14ac:dyDescent="0.25">
      <c r="B49" s="4">
        <v>4</v>
      </c>
      <c r="C49" s="74"/>
      <c r="D49" s="74"/>
      <c r="E49" s="74"/>
      <c r="F49" s="74"/>
      <c r="G49" s="74"/>
      <c r="H49" s="74"/>
      <c r="I49" s="74"/>
      <c r="J49" s="74"/>
      <c r="K49" s="74"/>
      <c r="L49" s="74">
        <v>4051</v>
      </c>
      <c r="M49" s="74"/>
      <c r="N49" s="74"/>
      <c r="O49" s="74"/>
      <c r="P49" s="4"/>
    </row>
    <row r="50" spans="2:16" x14ac:dyDescent="0.25">
      <c r="B50" s="38"/>
      <c r="C50" s="86" t="s">
        <v>29</v>
      </c>
      <c r="D50" s="87"/>
      <c r="E50" s="87"/>
      <c r="F50" s="87"/>
      <c r="G50" s="87"/>
      <c r="H50" s="87"/>
      <c r="I50" s="87"/>
      <c r="J50" s="87"/>
      <c r="K50" s="88"/>
      <c r="L50" s="79">
        <v>4051</v>
      </c>
      <c r="M50" s="79"/>
      <c r="N50" s="91">
        <f>SUM(N46:O49)</f>
        <v>0.68940631942730191</v>
      </c>
      <c r="O50" s="91"/>
      <c r="P50" s="38">
        <f>SUM(P46:P49)</f>
        <v>33513.42</v>
      </c>
    </row>
    <row r="51" spans="2:16" hidden="1" x14ac:dyDescent="0.25">
      <c r="B51" s="90" t="s">
        <v>30</v>
      </c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</row>
    <row r="52" spans="2:16" hidden="1" x14ac:dyDescent="0.25">
      <c r="B52" s="38"/>
      <c r="C52" s="86" t="s">
        <v>31</v>
      </c>
      <c r="D52" s="87"/>
      <c r="E52" s="87"/>
      <c r="F52" s="87"/>
      <c r="G52" s="87"/>
      <c r="H52" s="87"/>
      <c r="I52" s="87"/>
      <c r="J52" s="87"/>
      <c r="K52" s="88"/>
      <c r="L52" s="79">
        <v>4051</v>
      </c>
      <c r="M52" s="79"/>
      <c r="N52" s="79">
        <v>0</v>
      </c>
      <c r="O52" s="79"/>
      <c r="P52" s="38">
        <v>0</v>
      </c>
    </row>
    <row r="55" spans="2:16" x14ac:dyDescent="0.25">
      <c r="C55" s="1" t="s">
        <v>38</v>
      </c>
    </row>
    <row r="56" spans="2:16" x14ac:dyDescent="0.25">
      <c r="C56" s="1" t="s">
        <v>39</v>
      </c>
    </row>
    <row r="57" spans="2:16" x14ac:dyDescent="0.25">
      <c r="C57" s="4" t="s">
        <v>93</v>
      </c>
      <c r="D57" s="22">
        <f>N44</f>
        <v>16.808246099999998</v>
      </c>
    </row>
    <row r="60" spans="2:16" x14ac:dyDescent="0.25">
      <c r="C60" s="1" t="s">
        <v>40</v>
      </c>
      <c r="D60" s="2"/>
      <c r="E60" s="2"/>
      <c r="F60" s="2"/>
      <c r="G60" s="2"/>
      <c r="J60" s="1" t="s">
        <v>41</v>
      </c>
    </row>
    <row r="63" spans="2:16" ht="24.75" customHeight="1" x14ac:dyDescent="0.25">
      <c r="C63" s="1" t="s">
        <v>42</v>
      </c>
      <c r="D63" s="2"/>
      <c r="E63" s="2"/>
      <c r="F63" s="1" t="s">
        <v>43</v>
      </c>
    </row>
    <row r="64" spans="2:16" ht="25.5" customHeight="1" x14ac:dyDescent="0.25">
      <c r="D64" s="2"/>
      <c r="E64" s="2"/>
      <c r="F64" s="1" t="s">
        <v>43</v>
      </c>
    </row>
    <row r="65" spans="4:6" ht="24.75" customHeight="1" x14ac:dyDescent="0.25">
      <c r="D65" s="2"/>
      <c r="E65" s="2"/>
      <c r="F65" s="1" t="s">
        <v>43</v>
      </c>
    </row>
  </sheetData>
  <mergeCells count="115">
    <mergeCell ref="B51:P51"/>
    <mergeCell ref="C52:K52"/>
    <mergeCell ref="L52:M52"/>
    <mergeCell ref="N52:O52"/>
    <mergeCell ref="C49:K49"/>
    <mergeCell ref="L49:M49"/>
    <mergeCell ref="N49:O49"/>
    <mergeCell ref="C50:K50"/>
    <mergeCell ref="L50:M50"/>
    <mergeCell ref="N50:O50"/>
    <mergeCell ref="B45:P45"/>
    <mergeCell ref="C46:K46"/>
    <mergeCell ref="L46:M46"/>
    <mergeCell ref="N46:O46"/>
    <mergeCell ref="C47:K47"/>
    <mergeCell ref="L47:M47"/>
    <mergeCell ref="N47:O47"/>
    <mergeCell ref="C48:K48"/>
    <mergeCell ref="L48:M48"/>
    <mergeCell ref="N48:O48"/>
    <mergeCell ref="C42:K42"/>
    <mergeCell ref="L42:M42"/>
    <mergeCell ref="N42:O42"/>
    <mergeCell ref="C43:K43"/>
    <mergeCell ref="L43:M43"/>
    <mergeCell ref="N43:O43"/>
    <mergeCell ref="C44:K44"/>
    <mergeCell ref="L44:M44"/>
    <mergeCell ref="N44:O44"/>
    <mergeCell ref="C39:K39"/>
    <mergeCell ref="L39:M39"/>
    <mergeCell ref="N39:O39"/>
    <mergeCell ref="C40:K40"/>
    <mergeCell ref="L40:M40"/>
    <mergeCell ref="N40:O40"/>
    <mergeCell ref="C41:K41"/>
    <mergeCell ref="L41:M41"/>
    <mergeCell ref="N41:O41"/>
    <mergeCell ref="C36:K36"/>
    <mergeCell ref="L36:M36"/>
    <mergeCell ref="N36:O36"/>
    <mergeCell ref="C37:K37"/>
    <mergeCell ref="L37:M37"/>
    <mergeCell ref="N37:O37"/>
    <mergeCell ref="C38:K38"/>
    <mergeCell ref="L38:M38"/>
    <mergeCell ref="N38:O38"/>
    <mergeCell ref="C33:K33"/>
    <mergeCell ref="L33:M33"/>
    <mergeCell ref="N33:O33"/>
    <mergeCell ref="C34:K34"/>
    <mergeCell ref="L34:M34"/>
    <mergeCell ref="N34:O34"/>
    <mergeCell ref="C35:K35"/>
    <mergeCell ref="L35:M35"/>
    <mergeCell ref="N35:O35"/>
    <mergeCell ref="C29:K29"/>
    <mergeCell ref="L29:M29"/>
    <mergeCell ref="N29:O29"/>
    <mergeCell ref="B30:P30"/>
    <mergeCell ref="C31:K31"/>
    <mergeCell ref="L31:M31"/>
    <mergeCell ref="N31:O31"/>
    <mergeCell ref="C32:K32"/>
    <mergeCell ref="L32:M32"/>
    <mergeCell ref="N32:O32"/>
    <mergeCell ref="C28:K28"/>
    <mergeCell ref="L28:M28"/>
    <mergeCell ref="N28:O28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2:E22"/>
    <mergeCell ref="B2:V2"/>
    <mergeCell ref="B3:V3"/>
    <mergeCell ref="B4:V4"/>
    <mergeCell ref="P12:Q12"/>
    <mergeCell ref="P13:Q13"/>
    <mergeCell ref="P14:Q14"/>
    <mergeCell ref="P15:Q15"/>
    <mergeCell ref="P16:Q16"/>
    <mergeCell ref="T12:U12"/>
    <mergeCell ref="T13:U13"/>
    <mergeCell ref="T14:U14"/>
    <mergeCell ref="T15:U15"/>
    <mergeCell ref="T16:U16"/>
    <mergeCell ref="T18:U18"/>
    <mergeCell ref="T19:U19"/>
    <mergeCell ref="T20:U20"/>
    <mergeCell ref="T22:U22"/>
    <mergeCell ref="P18:Q18"/>
    <mergeCell ref="P19:Q19"/>
    <mergeCell ref="P20:Q20"/>
    <mergeCell ref="P22:Q22"/>
    <mergeCell ref="R12:S12"/>
    <mergeCell ref="R13:S13"/>
    <mergeCell ref="R14:S14"/>
    <mergeCell ref="R15:S15"/>
    <mergeCell ref="R16:S16"/>
    <mergeCell ref="R18:S18"/>
    <mergeCell ref="R19:S19"/>
    <mergeCell ref="R20:S20"/>
    <mergeCell ref="R22:S22"/>
    <mergeCell ref="P17:Q17"/>
    <mergeCell ref="R17:S17"/>
    <mergeCell ref="T17:U17"/>
    <mergeCell ref="P21:Q21"/>
    <mergeCell ref="R21:S21"/>
    <mergeCell ref="T21:U21"/>
  </mergeCells>
  <pageMargins left="0.25" right="0.25" top="0.75" bottom="0.75" header="0.3" footer="0.3"/>
  <pageSetup paperSize="9" scale="46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B1:V65"/>
  <sheetViews>
    <sheetView view="pageBreakPreview" zoomScale="77" zoomScaleNormal="84" zoomScaleSheetLayoutView="77" workbookViewId="0">
      <selection activeCell="L17" sqref="L17"/>
    </sheetView>
  </sheetViews>
  <sheetFormatPr defaultRowHeight="15.75" x14ac:dyDescent="0.25"/>
  <cols>
    <col min="1" max="1" width="2.7109375" style="1" customWidth="1"/>
    <col min="2" max="2" width="4" style="1" bestFit="1" customWidth="1"/>
    <col min="3" max="3" width="39.5703125" style="1" customWidth="1"/>
    <col min="4" max="4" width="13.28515625" style="1" customWidth="1"/>
    <col min="5" max="5" width="11.7109375" style="1" customWidth="1"/>
    <col min="6" max="6" width="10.28515625" style="1" bestFit="1" customWidth="1"/>
    <col min="7" max="7" width="1.5703125" style="1" hidden="1" customWidth="1"/>
    <col min="8" max="8" width="12.5703125" style="1" hidden="1" customWidth="1"/>
    <col min="9" max="9" width="1.5703125" style="1" customWidth="1"/>
    <col min="10" max="10" width="11.140625" style="1" customWidth="1"/>
    <col min="11" max="11" width="2.28515625" style="1" customWidth="1"/>
    <col min="12" max="12" width="12.140625" style="1" customWidth="1"/>
    <col min="13" max="13" width="1.5703125" style="1" customWidth="1"/>
    <col min="14" max="14" width="15.7109375" style="1" customWidth="1"/>
    <col min="15" max="15" width="1.7109375" style="1" customWidth="1"/>
    <col min="16" max="16" width="12" style="1" customWidth="1"/>
    <col min="17" max="17" width="10.28515625" style="1" customWidth="1"/>
    <col min="18" max="18" width="11.140625" style="1" customWidth="1"/>
    <col min="19" max="19" width="10.28515625" style="1" customWidth="1"/>
    <col min="20" max="20" width="15" style="1" customWidth="1"/>
    <col min="21" max="21" width="10.85546875" style="1" customWidth="1"/>
    <col min="22" max="22" width="11" style="1" customWidth="1"/>
    <col min="23" max="16384" width="9.140625" style="1"/>
  </cols>
  <sheetData>
    <row r="1" spans="2:22" ht="16.5" thickBot="1" x14ac:dyDescent="0.3"/>
    <row r="2" spans="2:22" x14ac:dyDescent="0.25">
      <c r="B2" s="63" t="s">
        <v>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5"/>
    </row>
    <row r="3" spans="2:22" x14ac:dyDescent="0.25">
      <c r="B3" s="66" t="str">
        <f>'1'!B3:V3</f>
        <v>с 1.01.2016 по 31.12.2016 г.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/>
    </row>
    <row r="4" spans="2:22" ht="16.5" thickBot="1" x14ac:dyDescent="0.3">
      <c r="B4" s="69" t="s">
        <v>32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1"/>
    </row>
    <row r="5" spans="2:22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2:22" x14ac:dyDescent="0.25">
      <c r="C6" s="29" t="s">
        <v>66</v>
      </c>
    </row>
    <row r="8" spans="2:22" x14ac:dyDescent="0.25">
      <c r="C8" s="1" t="s">
        <v>33</v>
      </c>
      <c r="D8" s="2">
        <v>1441.26</v>
      </c>
    </row>
    <row r="9" spans="2:22" x14ac:dyDescent="0.25">
      <c r="C9" s="1" t="s">
        <v>35</v>
      </c>
      <c r="D9" s="3">
        <v>79</v>
      </c>
    </row>
    <row r="10" spans="2:22" x14ac:dyDescent="0.25">
      <c r="C10" s="1" t="s">
        <v>36</v>
      </c>
      <c r="D10" s="3">
        <v>29</v>
      </c>
    </row>
    <row r="12" spans="2:22" ht="63" x14ac:dyDescent="0.25">
      <c r="C12" s="27" t="s">
        <v>1</v>
      </c>
      <c r="D12" s="59" t="str">
        <f>'1'!D12:E12</f>
        <v>Содержание общего имущества дома</v>
      </c>
      <c r="E12" s="60"/>
      <c r="F12" s="27" t="s">
        <v>8</v>
      </c>
      <c r="G12" s="7"/>
      <c r="H12" s="27" t="s">
        <v>9</v>
      </c>
      <c r="I12" s="7"/>
      <c r="J12" s="28" t="str">
        <f>'1'!J12</f>
        <v>Вывоз ТБО (руб./чел.)</v>
      </c>
      <c r="K12" s="7"/>
      <c r="L12" s="28" t="s">
        <v>67</v>
      </c>
      <c r="M12" s="7"/>
      <c r="N12" s="28" t="str">
        <f>'1'!N12</f>
        <v>Обслуживание антены (руб./лиц.сч.)</v>
      </c>
      <c r="O12" s="8"/>
      <c r="P12" s="59" t="str">
        <f>'1'!P12</f>
        <v xml:space="preserve">Хол. вода </v>
      </c>
      <c r="Q12" s="60"/>
      <c r="R12" s="59" t="str">
        <f>'1'!R12</f>
        <v xml:space="preserve">Гор. вода </v>
      </c>
      <c r="S12" s="60"/>
      <c r="T12" s="59" t="str">
        <f>'1'!T12</f>
        <v>Канализация</v>
      </c>
      <c r="U12" s="60"/>
      <c r="V12" s="27" t="s">
        <v>10</v>
      </c>
    </row>
    <row r="13" spans="2:22" x14ac:dyDescent="0.25">
      <c r="C13" s="9" t="s">
        <v>2</v>
      </c>
      <c r="D13" s="57"/>
      <c r="E13" s="58"/>
      <c r="F13" s="6"/>
      <c r="G13" s="7"/>
      <c r="H13" s="6"/>
      <c r="I13" s="7"/>
      <c r="J13" s="6"/>
      <c r="K13" s="7"/>
      <c r="L13" s="6"/>
      <c r="M13" s="7"/>
      <c r="N13" s="6"/>
      <c r="O13" s="7"/>
      <c r="P13" s="57"/>
      <c r="Q13" s="58"/>
      <c r="R13" s="57"/>
      <c r="S13" s="58"/>
      <c r="T13" s="57"/>
      <c r="U13" s="58"/>
      <c r="V13" s="30">
        <f>V14</f>
        <v>-198754.93</v>
      </c>
    </row>
    <row r="14" spans="2:22" ht="47.25" x14ac:dyDescent="0.25">
      <c r="C14" s="10" t="str">
        <f>'1'!C14</f>
        <v>Остаток с предыдущего периода (задолженность(-), переплата (+)) на 01.01.2016г.</v>
      </c>
      <c r="D14" s="57"/>
      <c r="E14" s="58"/>
      <c r="F14" s="6">
        <v>-45311.93</v>
      </c>
      <c r="G14" s="7"/>
      <c r="H14" s="6"/>
      <c r="I14" s="7"/>
      <c r="J14" s="6">
        <v>-7691.21</v>
      </c>
      <c r="K14" s="7"/>
      <c r="L14" s="6">
        <v>-104330.15</v>
      </c>
      <c r="M14" s="7"/>
      <c r="N14" s="14">
        <v>-2119.9499999999998</v>
      </c>
      <c r="O14" s="7"/>
      <c r="P14" s="57">
        <v>-4628.41</v>
      </c>
      <c r="Q14" s="58"/>
      <c r="R14" s="57">
        <v>-23965.06</v>
      </c>
      <c r="S14" s="58"/>
      <c r="T14" s="57">
        <v>-10708.22</v>
      </c>
      <c r="U14" s="58"/>
      <c r="V14" s="14">
        <f>F14+H14+J14+L14+N14+P14+Q14+R14+S14+T14+U14</f>
        <v>-198754.93</v>
      </c>
    </row>
    <row r="15" spans="2:22" x14ac:dyDescent="0.25">
      <c r="C15" s="9" t="s">
        <v>3</v>
      </c>
      <c r="D15" s="57"/>
      <c r="E15" s="58"/>
      <c r="F15" s="6">
        <v>261745.03</v>
      </c>
      <c r="G15" s="7"/>
      <c r="H15" s="14"/>
      <c r="I15" s="7"/>
      <c r="J15" s="14">
        <v>46920.3</v>
      </c>
      <c r="K15" s="7"/>
      <c r="L15" s="6">
        <f>604847.7+61292.04</f>
        <v>666139.74</v>
      </c>
      <c r="M15" s="7"/>
      <c r="N15" s="6">
        <v>12600</v>
      </c>
      <c r="O15" s="7"/>
      <c r="P15" s="61">
        <f>30101.96+407.94</f>
        <v>30509.899999999998</v>
      </c>
      <c r="Q15" s="62"/>
      <c r="R15" s="61">
        <f>147072.66+1772.17</f>
        <v>148844.83000000002</v>
      </c>
      <c r="S15" s="62"/>
      <c r="T15" s="61">
        <f>37389.67+27681.59</f>
        <v>65071.259999999995</v>
      </c>
      <c r="U15" s="62"/>
      <c r="V15" s="6">
        <f>F15+H15+J15+L15+N15+P15+Q15+R15+S15+T15+U15</f>
        <v>1231831.06</v>
      </c>
    </row>
    <row r="16" spans="2:22" x14ac:dyDescent="0.25">
      <c r="C16" s="9" t="s">
        <v>4</v>
      </c>
      <c r="D16" s="57"/>
      <c r="E16" s="58"/>
      <c r="F16" s="6">
        <v>248546.64</v>
      </c>
      <c r="G16" s="7"/>
      <c r="H16" s="14"/>
      <c r="I16" s="7"/>
      <c r="J16" s="14">
        <v>43829.39</v>
      </c>
      <c r="K16" s="7"/>
      <c r="L16" s="6">
        <f>573104.32+35654.17</f>
        <v>608758.49</v>
      </c>
      <c r="M16" s="7"/>
      <c r="N16" s="14">
        <v>12855.43</v>
      </c>
      <c r="O16" s="7"/>
      <c r="P16" s="61">
        <f>28633.85+163.52</f>
        <v>28797.37</v>
      </c>
      <c r="Q16" s="62"/>
      <c r="R16" s="61">
        <f>138716.17+677.12</f>
        <v>139393.29</v>
      </c>
      <c r="S16" s="62"/>
      <c r="T16" s="61">
        <f>37179.22+25083.36</f>
        <v>62262.58</v>
      </c>
      <c r="U16" s="62"/>
      <c r="V16" s="12">
        <f t="shared" ref="V16:V17" si="0">F16+H16+J16+L16+N16+P16+Q16+R16+S16+T16+U16</f>
        <v>1144443.1900000002</v>
      </c>
    </row>
    <row r="17" spans="2:22" ht="31.5" x14ac:dyDescent="0.25">
      <c r="C17" s="10" t="s">
        <v>5</v>
      </c>
      <c r="D17" s="57"/>
      <c r="E17" s="58"/>
      <c r="F17" s="14">
        <f>P44+P50</f>
        <v>290700.63328903198</v>
      </c>
      <c r="G17" s="7"/>
      <c r="H17" s="6">
        <f>P52</f>
        <v>0</v>
      </c>
      <c r="I17" s="7"/>
      <c r="J17" s="14">
        <f>J15+18637.18</f>
        <v>65557.48000000001</v>
      </c>
      <c r="K17" s="7"/>
      <c r="L17" s="18">
        <f>(D8*L20*6)+(D8*L21*6)</f>
        <v>612420.19919999992</v>
      </c>
      <c r="M17" s="7"/>
      <c r="N17" s="14">
        <f>'1'!N17</f>
        <v>11336.326999999999</v>
      </c>
      <c r="O17" s="7"/>
      <c r="P17" s="61">
        <f>P15+Q15+114670.71</f>
        <v>145180.61000000002</v>
      </c>
      <c r="Q17" s="62"/>
      <c r="R17" s="61">
        <f>R15+S15</f>
        <v>148844.83000000002</v>
      </c>
      <c r="S17" s="62"/>
      <c r="T17" s="61">
        <f>T15+U15</f>
        <v>65071.259999999995</v>
      </c>
      <c r="U17" s="62"/>
      <c r="V17" s="12">
        <f t="shared" si="0"/>
        <v>1339111.339489032</v>
      </c>
    </row>
    <row r="18" spans="2:22" ht="31.5" x14ac:dyDescent="0.25">
      <c r="C18" s="10" t="str">
        <f>'1'!C18</f>
        <v>Текущий остаток (задолженность (-), переплата (+)) на 31.12.2016 г.</v>
      </c>
      <c r="D18" s="57"/>
      <c r="E18" s="58"/>
      <c r="F18" s="31">
        <f>F16-F15+F14+F23</f>
        <v>-58510.319999999985</v>
      </c>
      <c r="G18" s="40"/>
      <c r="H18" s="31">
        <f>H16-H15+H14</f>
        <v>0</v>
      </c>
      <c r="I18" s="40"/>
      <c r="J18" s="31">
        <f>J16-J15+J14</f>
        <v>-10782.120000000003</v>
      </c>
      <c r="K18" s="40"/>
      <c r="L18" s="31">
        <f>L16-L15+L14</f>
        <v>-161711.4</v>
      </c>
      <c r="M18" s="40"/>
      <c r="N18" s="31">
        <f>N16-N15+N14</f>
        <v>-1864.5199999999995</v>
      </c>
      <c r="O18" s="40"/>
      <c r="P18" s="55">
        <f t="shared" ref="P18:R18" si="1">P16-P15+P14</f>
        <v>-6340.9399999999987</v>
      </c>
      <c r="Q18" s="56"/>
      <c r="R18" s="55">
        <f t="shared" si="1"/>
        <v>-33416.600000000006</v>
      </c>
      <c r="S18" s="56"/>
      <c r="T18" s="55">
        <f>T16-T15+T14</f>
        <v>-13516.899999999992</v>
      </c>
      <c r="U18" s="56"/>
      <c r="V18" s="31">
        <f>V16-V15+V14</f>
        <v>-286142.79999999987</v>
      </c>
    </row>
    <row r="19" spans="2:22" x14ac:dyDescent="0.25">
      <c r="C19" s="9" t="s">
        <v>6</v>
      </c>
      <c r="D19" s="57"/>
      <c r="E19" s="58"/>
      <c r="F19" s="6"/>
      <c r="G19" s="7"/>
      <c r="H19" s="6"/>
      <c r="I19" s="7"/>
      <c r="J19" s="6"/>
      <c r="K19" s="7"/>
      <c r="L19" s="6"/>
      <c r="M19" s="7"/>
      <c r="N19" s="6"/>
      <c r="O19" s="7"/>
      <c r="P19" s="57"/>
      <c r="Q19" s="58"/>
      <c r="R19" s="57"/>
      <c r="S19" s="58"/>
      <c r="T19" s="57"/>
      <c r="U19" s="58"/>
      <c r="V19" s="30">
        <f>F18+H18+J18+L18+N18+P18+Q18+R18+S18+T18+U18</f>
        <v>-286142.79999999993</v>
      </c>
    </row>
    <row r="20" spans="2:22" x14ac:dyDescent="0.25">
      <c r="C20" s="9" t="str">
        <f>'1'!C20</f>
        <v>Тариф (руб/м²), 1-е полугодие</v>
      </c>
      <c r="D20" s="57"/>
      <c r="E20" s="58"/>
      <c r="F20" s="13">
        <f>'1'!F20</f>
        <v>15.31</v>
      </c>
      <c r="G20" s="7"/>
      <c r="H20" s="6">
        <f>'1'!H20</f>
        <v>37.700000000000003</v>
      </c>
      <c r="I20" s="7"/>
      <c r="J20" s="13">
        <f>'1'!J20</f>
        <v>44.32</v>
      </c>
      <c r="K20" s="7"/>
      <c r="L20" s="6">
        <v>34.909999999999997</v>
      </c>
      <c r="M20" s="7"/>
      <c r="N20" s="6">
        <f>'1'!N20</f>
        <v>50</v>
      </c>
      <c r="O20" s="7"/>
      <c r="P20" s="57" t="str">
        <f>'1'!P20</f>
        <v xml:space="preserve">15,02 руб./м3 </v>
      </c>
      <c r="Q20" s="58"/>
      <c r="R20" s="57" t="str">
        <f>'1'!R20</f>
        <v>99,55 руб./м3</v>
      </c>
      <c r="S20" s="58"/>
      <c r="T20" s="57" t="str">
        <f>'1'!T20</f>
        <v>18,66 руб./м3</v>
      </c>
      <c r="U20" s="58"/>
      <c r="V20" s="6"/>
    </row>
    <row r="21" spans="2:22" x14ac:dyDescent="0.25">
      <c r="C21" s="9" t="str">
        <f>'1'!C21</f>
        <v>Тариф (руб/м²), 2-е полугодие</v>
      </c>
      <c r="D21" s="50"/>
      <c r="E21" s="51"/>
      <c r="F21" s="21">
        <f>'1'!F21</f>
        <v>15.31</v>
      </c>
      <c r="G21" s="7"/>
      <c r="H21" s="21"/>
      <c r="I21" s="7"/>
      <c r="J21" s="21">
        <f>'1'!J21</f>
        <v>44.32</v>
      </c>
      <c r="K21" s="7"/>
      <c r="L21" s="21">
        <v>35.909999999999997</v>
      </c>
      <c r="M21" s="7"/>
      <c r="N21" s="21">
        <f>'1'!N21</f>
        <v>50</v>
      </c>
      <c r="O21" s="7"/>
      <c r="P21" s="57" t="str">
        <f>'1'!P21:Q21</f>
        <v>15,63 руб./м³</v>
      </c>
      <c r="Q21" s="58"/>
      <c r="R21" s="97" t="str">
        <f>'1'!R21:S21</f>
        <v>102,59 руб./м³</v>
      </c>
      <c r="S21" s="98"/>
      <c r="T21" s="57" t="str">
        <f>'1'!T21:U21</f>
        <v>19,41 руб./м³</v>
      </c>
      <c r="U21" s="58"/>
      <c r="V21" s="21"/>
    </row>
    <row r="22" spans="2:22" x14ac:dyDescent="0.25">
      <c r="C22" s="9" t="s">
        <v>44</v>
      </c>
      <c r="D22" s="57"/>
      <c r="E22" s="58"/>
      <c r="F22" s="18">
        <f>N44+N50</f>
        <v>16.808246099999998</v>
      </c>
      <c r="G22" s="7"/>
      <c r="H22" s="6"/>
      <c r="I22" s="7"/>
      <c r="J22" s="6"/>
      <c r="K22" s="7"/>
      <c r="L22" s="6"/>
      <c r="M22" s="7"/>
      <c r="N22" s="6"/>
      <c r="O22" s="7"/>
      <c r="P22" s="57"/>
      <c r="Q22" s="58"/>
      <c r="R22" s="57"/>
      <c r="S22" s="58"/>
      <c r="T22" s="57"/>
      <c r="U22" s="58"/>
      <c r="V22" s="6"/>
    </row>
    <row r="23" spans="2:22" x14ac:dyDescent="0.25">
      <c r="F23" s="25"/>
    </row>
    <row r="24" spans="2:22" x14ac:dyDescent="0.25">
      <c r="C24" s="5" t="s">
        <v>11</v>
      </c>
    </row>
    <row r="25" spans="2:22" x14ac:dyDescent="0.25">
      <c r="C25" s="1" t="s">
        <v>12</v>
      </c>
      <c r="J25" s="34">
        <f>V19/V15*100</f>
        <v>-23.229061946205505</v>
      </c>
      <c r="K25" s="35" t="s">
        <v>37</v>
      </c>
    </row>
    <row r="28" spans="2:22" ht="33" customHeight="1" x14ac:dyDescent="0.25">
      <c r="B28" s="27" t="s">
        <v>13</v>
      </c>
      <c r="C28" s="72" t="s">
        <v>14</v>
      </c>
      <c r="D28" s="72"/>
      <c r="E28" s="72"/>
      <c r="F28" s="72"/>
      <c r="G28" s="72"/>
      <c r="H28" s="72"/>
      <c r="I28" s="72"/>
      <c r="J28" s="72"/>
      <c r="K28" s="72"/>
      <c r="L28" s="73" t="s">
        <v>45</v>
      </c>
      <c r="M28" s="73"/>
      <c r="N28" s="73" t="s">
        <v>46</v>
      </c>
      <c r="O28" s="73"/>
      <c r="P28" s="27" t="s">
        <v>28</v>
      </c>
    </row>
    <row r="29" spans="2:22" x14ac:dyDescent="0.25">
      <c r="B29" s="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4"/>
    </row>
    <row r="30" spans="2:22" x14ac:dyDescent="0.25">
      <c r="B30" s="90" t="s">
        <v>7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</row>
    <row r="31" spans="2:22" x14ac:dyDescent="0.25">
      <c r="B31" s="4">
        <v>1</v>
      </c>
      <c r="C31" s="76" t="s">
        <v>15</v>
      </c>
      <c r="D31" s="76"/>
      <c r="E31" s="76"/>
      <c r="F31" s="76"/>
      <c r="G31" s="76"/>
      <c r="H31" s="76"/>
      <c r="I31" s="76"/>
      <c r="J31" s="76"/>
      <c r="K31" s="76"/>
      <c r="L31" s="74">
        <v>1441.26</v>
      </c>
      <c r="M31" s="74"/>
      <c r="N31" s="77">
        <f>'1'!N31:O31</f>
        <v>3.5</v>
      </c>
      <c r="O31" s="77"/>
      <c r="P31" s="17">
        <f>L31*N31*12</f>
        <v>60532.92</v>
      </c>
    </row>
    <row r="32" spans="2:22" x14ac:dyDescent="0.25">
      <c r="B32" s="4">
        <v>2</v>
      </c>
      <c r="C32" s="76" t="s">
        <v>34</v>
      </c>
      <c r="D32" s="76"/>
      <c r="E32" s="76"/>
      <c r="F32" s="76"/>
      <c r="G32" s="76"/>
      <c r="H32" s="76"/>
      <c r="I32" s="76"/>
      <c r="J32" s="76"/>
      <c r="K32" s="76"/>
      <c r="L32" s="74">
        <v>1441.26</v>
      </c>
      <c r="M32" s="74"/>
      <c r="N32" s="77">
        <f>'1'!N32:O32</f>
        <v>0.98752150000000005</v>
      </c>
      <c r="O32" s="77"/>
      <c r="P32" s="17">
        <f t="shared" ref="P32:P43" si="2">L32*N32*12</f>
        <v>17079.302845080001</v>
      </c>
    </row>
    <row r="33" spans="2:16" x14ac:dyDescent="0.25">
      <c r="B33" s="4">
        <v>3</v>
      </c>
      <c r="C33" s="76" t="s">
        <v>16</v>
      </c>
      <c r="D33" s="76"/>
      <c r="E33" s="76"/>
      <c r="F33" s="76"/>
      <c r="G33" s="76"/>
      <c r="H33" s="76"/>
      <c r="I33" s="76"/>
      <c r="J33" s="76"/>
      <c r="K33" s="76"/>
      <c r="L33" s="74">
        <v>1441.26</v>
      </c>
      <c r="M33" s="74"/>
      <c r="N33" s="77">
        <f>'1'!N33:O33</f>
        <v>2.8257476000000001</v>
      </c>
      <c r="O33" s="77"/>
      <c r="P33" s="17">
        <f t="shared" si="2"/>
        <v>48871.643831712005</v>
      </c>
    </row>
    <row r="34" spans="2:16" x14ac:dyDescent="0.25">
      <c r="B34" s="4">
        <v>4</v>
      </c>
      <c r="C34" s="76" t="s">
        <v>17</v>
      </c>
      <c r="D34" s="76"/>
      <c r="E34" s="76"/>
      <c r="F34" s="76"/>
      <c r="G34" s="76"/>
      <c r="H34" s="76"/>
      <c r="I34" s="76"/>
      <c r="J34" s="76"/>
      <c r="K34" s="76"/>
      <c r="L34" s="74">
        <v>1441.26</v>
      </c>
      <c r="M34" s="74"/>
      <c r="N34" s="77">
        <f>'1'!N34:O34</f>
        <v>1</v>
      </c>
      <c r="O34" s="77"/>
      <c r="P34" s="17">
        <f t="shared" si="2"/>
        <v>17295.12</v>
      </c>
    </row>
    <row r="35" spans="2:16" x14ac:dyDescent="0.25">
      <c r="B35" s="4">
        <v>5</v>
      </c>
      <c r="C35" s="76" t="s">
        <v>18</v>
      </c>
      <c r="D35" s="76"/>
      <c r="E35" s="76"/>
      <c r="F35" s="76"/>
      <c r="G35" s="76"/>
      <c r="H35" s="76"/>
      <c r="I35" s="76"/>
      <c r="J35" s="76"/>
      <c r="K35" s="76"/>
      <c r="L35" s="74">
        <v>1441.26</v>
      </c>
      <c r="M35" s="74"/>
      <c r="N35" s="77">
        <f>'1'!N35:O35</f>
        <v>2</v>
      </c>
      <c r="O35" s="77"/>
      <c r="P35" s="17">
        <f t="shared" si="2"/>
        <v>34590.239999999998</v>
      </c>
    </row>
    <row r="36" spans="2:16" x14ac:dyDescent="0.25">
      <c r="B36" s="4">
        <v>6</v>
      </c>
      <c r="C36" s="76" t="s">
        <v>24</v>
      </c>
      <c r="D36" s="76"/>
      <c r="E36" s="76"/>
      <c r="F36" s="76"/>
      <c r="G36" s="76"/>
      <c r="H36" s="76"/>
      <c r="I36" s="76"/>
      <c r="J36" s="76"/>
      <c r="K36" s="76"/>
      <c r="L36" s="74">
        <v>1441.26</v>
      </c>
      <c r="M36" s="74"/>
      <c r="N36" s="77">
        <f>'1'!N36:O36</f>
        <v>3</v>
      </c>
      <c r="O36" s="77"/>
      <c r="P36" s="17">
        <f t="shared" si="2"/>
        <v>51885.36</v>
      </c>
    </row>
    <row r="37" spans="2:16" x14ac:dyDescent="0.25">
      <c r="B37" s="4">
        <v>7</v>
      </c>
      <c r="C37" s="76" t="s">
        <v>19</v>
      </c>
      <c r="D37" s="76"/>
      <c r="E37" s="76"/>
      <c r="F37" s="76"/>
      <c r="G37" s="76"/>
      <c r="H37" s="76"/>
      <c r="I37" s="76"/>
      <c r="J37" s="76"/>
      <c r="K37" s="76"/>
      <c r="L37" s="74">
        <v>1441.26</v>
      </c>
      <c r="M37" s="74"/>
      <c r="N37" s="77">
        <f>'1'!N37:O37</f>
        <v>0.5</v>
      </c>
      <c r="O37" s="77"/>
      <c r="P37" s="17">
        <f t="shared" si="2"/>
        <v>8647.56</v>
      </c>
    </row>
    <row r="38" spans="2:16" x14ac:dyDescent="0.25">
      <c r="B38" s="4">
        <v>8</v>
      </c>
      <c r="C38" s="76" t="s">
        <v>20</v>
      </c>
      <c r="D38" s="76"/>
      <c r="E38" s="76"/>
      <c r="F38" s="76"/>
      <c r="G38" s="76"/>
      <c r="H38" s="76"/>
      <c r="I38" s="76"/>
      <c r="J38" s="76"/>
      <c r="K38" s="76"/>
      <c r="L38" s="74">
        <v>1441.26</v>
      </c>
      <c r="M38" s="74"/>
      <c r="N38" s="77">
        <f>'1'!N38:O38</f>
        <v>1.694977</v>
      </c>
      <c r="O38" s="77"/>
      <c r="P38" s="17">
        <f t="shared" si="2"/>
        <v>29314.830612239999</v>
      </c>
    </row>
    <row r="39" spans="2:16" x14ac:dyDescent="0.25">
      <c r="B39" s="4">
        <v>9</v>
      </c>
      <c r="C39" s="76" t="s">
        <v>84</v>
      </c>
      <c r="D39" s="76"/>
      <c r="E39" s="76"/>
      <c r="F39" s="76"/>
      <c r="G39" s="76"/>
      <c r="H39" s="76"/>
      <c r="I39" s="76"/>
      <c r="J39" s="76"/>
      <c r="K39" s="76"/>
      <c r="L39" s="74">
        <v>1441.26</v>
      </c>
      <c r="M39" s="74"/>
      <c r="N39" s="77">
        <f>'1'!N39:O39</f>
        <v>0.1</v>
      </c>
      <c r="O39" s="77"/>
      <c r="P39" s="17">
        <f t="shared" si="2"/>
        <v>1729.5120000000002</v>
      </c>
    </row>
    <row r="40" spans="2:16" x14ac:dyDescent="0.25">
      <c r="B40" s="4">
        <v>10</v>
      </c>
      <c r="C40" s="76" t="s">
        <v>21</v>
      </c>
      <c r="D40" s="76"/>
      <c r="E40" s="76"/>
      <c r="F40" s="76"/>
      <c r="G40" s="76"/>
      <c r="H40" s="76"/>
      <c r="I40" s="76"/>
      <c r="J40" s="76"/>
      <c r="K40" s="76"/>
      <c r="L40" s="74">
        <v>1441.26</v>
      </c>
      <c r="M40" s="74"/>
      <c r="N40" s="77">
        <f>'1'!N40:O40</f>
        <v>0.2</v>
      </c>
      <c r="O40" s="77"/>
      <c r="P40" s="17">
        <f t="shared" si="2"/>
        <v>3459.0240000000003</v>
      </c>
    </row>
    <row r="41" spans="2:16" x14ac:dyDescent="0.25">
      <c r="B41" s="4">
        <v>11</v>
      </c>
      <c r="C41" s="76" t="s">
        <v>22</v>
      </c>
      <c r="D41" s="76"/>
      <c r="E41" s="76"/>
      <c r="F41" s="76"/>
      <c r="G41" s="76"/>
      <c r="H41" s="76"/>
      <c r="I41" s="76"/>
      <c r="J41" s="76"/>
      <c r="K41" s="76"/>
      <c r="L41" s="74">
        <v>1441.26</v>
      </c>
      <c r="M41" s="74"/>
      <c r="N41" s="77">
        <f>'1'!N41:O41</f>
        <v>0.5</v>
      </c>
      <c r="O41" s="77"/>
      <c r="P41" s="17">
        <f t="shared" si="2"/>
        <v>8647.56</v>
      </c>
    </row>
    <row r="42" spans="2:16" hidden="1" x14ac:dyDescent="0.25">
      <c r="B42" s="4">
        <v>12</v>
      </c>
      <c r="C42" s="76" t="s">
        <v>23</v>
      </c>
      <c r="D42" s="76"/>
      <c r="E42" s="76"/>
      <c r="F42" s="76"/>
      <c r="G42" s="76"/>
      <c r="H42" s="76"/>
      <c r="I42" s="76"/>
      <c r="J42" s="76"/>
      <c r="K42" s="76"/>
      <c r="L42" s="74">
        <v>1441.26</v>
      </c>
      <c r="M42" s="74"/>
      <c r="N42" s="77">
        <f>'1'!N42:O42</f>
        <v>0</v>
      </c>
      <c r="O42" s="77"/>
      <c r="P42" s="17">
        <f t="shared" si="2"/>
        <v>0</v>
      </c>
    </row>
    <row r="43" spans="2:16" x14ac:dyDescent="0.25">
      <c r="B43" s="4">
        <v>12</v>
      </c>
      <c r="C43" s="76" t="s">
        <v>25</v>
      </c>
      <c r="D43" s="76"/>
      <c r="E43" s="76"/>
      <c r="F43" s="76"/>
      <c r="G43" s="76"/>
      <c r="H43" s="76"/>
      <c r="I43" s="76"/>
      <c r="J43" s="76"/>
      <c r="K43" s="76"/>
      <c r="L43" s="74">
        <v>1441.26</v>
      </c>
      <c r="M43" s="74"/>
      <c r="N43" s="77">
        <f>'1'!N43:O43</f>
        <v>0.5</v>
      </c>
      <c r="O43" s="77"/>
      <c r="P43" s="17">
        <f t="shared" si="2"/>
        <v>8647.56</v>
      </c>
    </row>
    <row r="44" spans="2:16" x14ac:dyDescent="0.25">
      <c r="B44" s="38"/>
      <c r="C44" s="78" t="s">
        <v>26</v>
      </c>
      <c r="D44" s="78"/>
      <c r="E44" s="78"/>
      <c r="F44" s="78"/>
      <c r="G44" s="78"/>
      <c r="H44" s="78"/>
      <c r="I44" s="78"/>
      <c r="J44" s="78"/>
      <c r="K44" s="78"/>
      <c r="L44" s="79">
        <v>1441.26</v>
      </c>
      <c r="M44" s="79"/>
      <c r="N44" s="91">
        <f>SUM(N31:O43)</f>
        <v>16.808246099999998</v>
      </c>
      <c r="O44" s="91"/>
      <c r="P44" s="39">
        <f>SUM(P31:P43)</f>
        <v>290700.63328903198</v>
      </c>
    </row>
    <row r="45" spans="2:16" hidden="1" x14ac:dyDescent="0.25">
      <c r="B45" s="90" t="s">
        <v>27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</row>
    <row r="46" spans="2:16" hidden="1" x14ac:dyDescent="0.25">
      <c r="B46" s="4">
        <v>1</v>
      </c>
      <c r="C46" s="82" t="s">
        <v>72</v>
      </c>
      <c r="D46" s="83"/>
      <c r="E46" s="83"/>
      <c r="F46" s="83"/>
      <c r="G46" s="83"/>
      <c r="H46" s="83"/>
      <c r="I46" s="83"/>
      <c r="J46" s="83"/>
      <c r="K46" s="84"/>
      <c r="L46" s="74">
        <v>1441.26</v>
      </c>
      <c r="M46" s="74"/>
      <c r="N46" s="85">
        <f>P46/L46/6</f>
        <v>0</v>
      </c>
      <c r="O46" s="85"/>
      <c r="P46" s="17"/>
    </row>
    <row r="47" spans="2:16" hidden="1" x14ac:dyDescent="0.25">
      <c r="B47" s="4">
        <v>2</v>
      </c>
      <c r="C47" s="82" t="s">
        <v>73</v>
      </c>
      <c r="D47" s="83"/>
      <c r="E47" s="83"/>
      <c r="F47" s="83"/>
      <c r="G47" s="83"/>
      <c r="H47" s="83"/>
      <c r="I47" s="83"/>
      <c r="J47" s="83"/>
      <c r="K47" s="84"/>
      <c r="L47" s="74">
        <v>1441.26</v>
      </c>
      <c r="M47" s="74"/>
      <c r="N47" s="74"/>
      <c r="O47" s="74"/>
      <c r="P47" s="17">
        <f>L47*N47*6</f>
        <v>0</v>
      </c>
    </row>
    <row r="48" spans="2:16" hidden="1" x14ac:dyDescent="0.25">
      <c r="B48" s="4">
        <v>3</v>
      </c>
      <c r="C48" s="82" t="s">
        <v>74</v>
      </c>
      <c r="D48" s="83"/>
      <c r="E48" s="83"/>
      <c r="F48" s="83"/>
      <c r="G48" s="83"/>
      <c r="H48" s="83"/>
      <c r="I48" s="83"/>
      <c r="J48" s="83"/>
      <c r="K48" s="84"/>
      <c r="L48" s="74">
        <v>1441.26</v>
      </c>
      <c r="M48" s="74"/>
      <c r="N48" s="74"/>
      <c r="O48" s="74"/>
      <c r="P48" s="17">
        <f>L48*N48*6</f>
        <v>0</v>
      </c>
    </row>
    <row r="49" spans="2:16" hidden="1" x14ac:dyDescent="0.25">
      <c r="B49" s="4">
        <v>4</v>
      </c>
      <c r="C49" s="74"/>
      <c r="D49" s="74"/>
      <c r="E49" s="74"/>
      <c r="F49" s="74"/>
      <c r="G49" s="74"/>
      <c r="H49" s="74"/>
      <c r="I49" s="74"/>
      <c r="J49" s="74"/>
      <c r="K49" s="74"/>
      <c r="L49" s="74">
        <v>1441.26</v>
      </c>
      <c r="M49" s="74"/>
      <c r="N49" s="74"/>
      <c r="O49" s="74"/>
      <c r="P49" s="4"/>
    </row>
    <row r="50" spans="2:16" hidden="1" x14ac:dyDescent="0.25">
      <c r="B50" s="38"/>
      <c r="C50" s="86" t="s">
        <v>29</v>
      </c>
      <c r="D50" s="87"/>
      <c r="E50" s="87"/>
      <c r="F50" s="87"/>
      <c r="G50" s="87"/>
      <c r="H50" s="87"/>
      <c r="I50" s="87"/>
      <c r="J50" s="87"/>
      <c r="K50" s="88"/>
      <c r="L50" s="79">
        <v>1441.26</v>
      </c>
      <c r="M50" s="79"/>
      <c r="N50" s="89">
        <f>SUM(N46:O49)</f>
        <v>0</v>
      </c>
      <c r="O50" s="79"/>
      <c r="P50" s="39">
        <f>SUM(P46:P49)</f>
        <v>0</v>
      </c>
    </row>
    <row r="51" spans="2:16" hidden="1" x14ac:dyDescent="0.25">
      <c r="B51" s="90" t="s">
        <v>30</v>
      </c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</row>
    <row r="52" spans="2:16" hidden="1" x14ac:dyDescent="0.25">
      <c r="B52" s="38"/>
      <c r="C52" s="86" t="s">
        <v>31</v>
      </c>
      <c r="D52" s="87"/>
      <c r="E52" s="87"/>
      <c r="F52" s="87"/>
      <c r="G52" s="87"/>
      <c r="H52" s="87"/>
      <c r="I52" s="87"/>
      <c r="J52" s="87"/>
      <c r="K52" s="88"/>
      <c r="L52" s="79">
        <v>1441.26</v>
      </c>
      <c r="M52" s="79"/>
      <c r="N52" s="79">
        <v>0</v>
      </c>
      <c r="O52" s="79"/>
      <c r="P52" s="38">
        <v>0</v>
      </c>
    </row>
    <row r="55" spans="2:16" x14ac:dyDescent="0.25">
      <c r="C55" s="1" t="s">
        <v>38</v>
      </c>
    </row>
    <row r="56" spans="2:16" x14ac:dyDescent="0.25">
      <c r="C56" s="1" t="s">
        <v>39</v>
      </c>
    </row>
    <row r="57" spans="2:16" x14ac:dyDescent="0.25">
      <c r="C57" s="4" t="s">
        <v>94</v>
      </c>
      <c r="D57" s="22">
        <f>N44</f>
        <v>16.808246099999998</v>
      </c>
    </row>
    <row r="60" spans="2:16" x14ac:dyDescent="0.25">
      <c r="C60" s="1" t="s">
        <v>40</v>
      </c>
      <c r="D60" s="2"/>
      <c r="E60" s="2"/>
      <c r="F60" s="2"/>
      <c r="G60" s="2"/>
      <c r="J60" s="1" t="s">
        <v>41</v>
      </c>
    </row>
    <row r="63" spans="2:16" ht="24.75" customHeight="1" x14ac:dyDescent="0.25">
      <c r="C63" s="1" t="s">
        <v>42</v>
      </c>
      <c r="D63" s="2"/>
      <c r="E63" s="2"/>
      <c r="F63" s="1" t="s">
        <v>43</v>
      </c>
    </row>
    <row r="64" spans="2:16" ht="25.5" customHeight="1" x14ac:dyDescent="0.25">
      <c r="D64" s="2"/>
      <c r="E64" s="2"/>
      <c r="F64" s="1" t="s">
        <v>43</v>
      </c>
    </row>
    <row r="65" spans="4:6" ht="24.75" customHeight="1" x14ac:dyDescent="0.25">
      <c r="D65" s="2"/>
      <c r="E65" s="2"/>
      <c r="F65" s="1" t="s">
        <v>43</v>
      </c>
    </row>
  </sheetData>
  <mergeCells count="115">
    <mergeCell ref="N38:O38"/>
    <mergeCell ref="N39:O39"/>
    <mergeCell ref="L38:M38"/>
    <mergeCell ref="L39:M39"/>
    <mergeCell ref="C42:K42"/>
    <mergeCell ref="C31:K31"/>
    <mergeCell ref="C32:K32"/>
    <mergeCell ref="C33:K33"/>
    <mergeCell ref="C34:K34"/>
    <mergeCell ref="C35:K35"/>
    <mergeCell ref="C36:K36"/>
    <mergeCell ref="N31:O31"/>
    <mergeCell ref="N32:O32"/>
    <mergeCell ref="N33:O33"/>
    <mergeCell ref="N34:O34"/>
    <mergeCell ref="N35:O35"/>
    <mergeCell ref="L33:M33"/>
    <mergeCell ref="L34:M34"/>
    <mergeCell ref="L35:M35"/>
    <mergeCell ref="N28:O28"/>
    <mergeCell ref="C29:K29"/>
    <mergeCell ref="L29:M29"/>
    <mergeCell ref="N29:O29"/>
    <mergeCell ref="B30:P30"/>
    <mergeCell ref="L31:M31"/>
    <mergeCell ref="L32:M32"/>
    <mergeCell ref="N36:O36"/>
    <mergeCell ref="N37:O37"/>
    <mergeCell ref="N44:O44"/>
    <mergeCell ref="B45:P45"/>
    <mergeCell ref="L44:M44"/>
    <mergeCell ref="L40:M40"/>
    <mergeCell ref="L41:M41"/>
    <mergeCell ref="L42:M42"/>
    <mergeCell ref="L43:M43"/>
    <mergeCell ref="C43:K43"/>
    <mergeCell ref="C44:K44"/>
    <mergeCell ref="C40:K40"/>
    <mergeCell ref="C41:K41"/>
    <mergeCell ref="N52:O52"/>
    <mergeCell ref="B2:V2"/>
    <mergeCell ref="B3:V3"/>
    <mergeCell ref="B4:V4"/>
    <mergeCell ref="N46:O46"/>
    <mergeCell ref="N47:O47"/>
    <mergeCell ref="N48:O48"/>
    <mergeCell ref="N49:O49"/>
    <mergeCell ref="N50:O50"/>
    <mergeCell ref="B51:P51"/>
    <mergeCell ref="C50:K50"/>
    <mergeCell ref="C46:K46"/>
    <mergeCell ref="C47:K47"/>
    <mergeCell ref="C48:K48"/>
    <mergeCell ref="C49:K49"/>
    <mergeCell ref="L46:M46"/>
    <mergeCell ref="L47:M47"/>
    <mergeCell ref="L48:M48"/>
    <mergeCell ref="L49:M49"/>
    <mergeCell ref="L50:M50"/>
    <mergeCell ref="N40:O40"/>
    <mergeCell ref="N41:O41"/>
    <mergeCell ref="N42:O42"/>
    <mergeCell ref="N43:O43"/>
    <mergeCell ref="C52:K52"/>
    <mergeCell ref="L52:M52"/>
    <mergeCell ref="L37:M37"/>
    <mergeCell ref="C37:K37"/>
    <mergeCell ref="C38:K38"/>
    <mergeCell ref="C39:K39"/>
    <mergeCell ref="L36:M36"/>
    <mergeCell ref="C28:K28"/>
    <mergeCell ref="L28:M28"/>
    <mergeCell ref="D19:E19"/>
    <mergeCell ref="T19:U19"/>
    <mergeCell ref="D20:E20"/>
    <mergeCell ref="D22:E22"/>
    <mergeCell ref="D12:E12"/>
    <mergeCell ref="D13:E13"/>
    <mergeCell ref="D14:E14"/>
    <mergeCell ref="D15:E15"/>
    <mergeCell ref="D16:E16"/>
    <mergeCell ref="P14:Q14"/>
    <mergeCell ref="P15:Q15"/>
    <mergeCell ref="P16:Q16"/>
    <mergeCell ref="P17:Q17"/>
    <mergeCell ref="R17:S17"/>
    <mergeCell ref="T17:U17"/>
    <mergeCell ref="D17:E17"/>
    <mergeCell ref="D18:E18"/>
    <mergeCell ref="P18:Q18"/>
    <mergeCell ref="T18:U18"/>
    <mergeCell ref="P21:Q21"/>
    <mergeCell ref="R21:S21"/>
    <mergeCell ref="T21:U21"/>
    <mergeCell ref="T20:U20"/>
    <mergeCell ref="T22:U22"/>
    <mergeCell ref="T12:U12"/>
    <mergeCell ref="T13:U13"/>
    <mergeCell ref="T14:U14"/>
    <mergeCell ref="T15:U15"/>
    <mergeCell ref="T16:U16"/>
    <mergeCell ref="P19:Q19"/>
    <mergeCell ref="P20:Q20"/>
    <mergeCell ref="P22:Q22"/>
    <mergeCell ref="R12:S12"/>
    <mergeCell ref="R13:S13"/>
    <mergeCell ref="R14:S14"/>
    <mergeCell ref="R15:S15"/>
    <mergeCell ref="R16:S16"/>
    <mergeCell ref="R18:S18"/>
    <mergeCell ref="R19:S19"/>
    <mergeCell ref="R20:S20"/>
    <mergeCell ref="R22:S22"/>
    <mergeCell ref="P12:Q12"/>
    <mergeCell ref="P13:Q13"/>
  </mergeCells>
  <pageMargins left="0.25" right="0.25" top="0.75" bottom="0.75" header="0.3" footer="0.3"/>
  <pageSetup paperSize="9" scale="4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65"/>
  <sheetViews>
    <sheetView view="pageBreakPreview" topLeftCell="A6" zoomScale="77" zoomScaleNormal="84" zoomScaleSheetLayoutView="77" workbookViewId="0">
      <selection activeCell="X11" sqref="X11"/>
    </sheetView>
  </sheetViews>
  <sheetFormatPr defaultRowHeight="15.75" x14ac:dyDescent="0.25"/>
  <cols>
    <col min="1" max="1" width="3" style="1" customWidth="1"/>
    <col min="2" max="2" width="3.5703125" style="1" bestFit="1" customWidth="1"/>
    <col min="3" max="3" width="40.140625" style="1" customWidth="1"/>
    <col min="4" max="4" width="13.28515625" style="1" customWidth="1"/>
    <col min="5" max="5" width="11.7109375" style="1" customWidth="1"/>
    <col min="6" max="6" width="12" style="1" customWidth="1"/>
    <col min="7" max="7" width="1.5703125" style="1" customWidth="1"/>
    <col min="8" max="8" width="12.5703125" style="1" customWidth="1"/>
    <col min="9" max="9" width="1.5703125" style="1" customWidth="1"/>
    <col min="10" max="10" width="11.140625" style="1" customWidth="1"/>
    <col min="11" max="11" width="2.28515625" style="1" customWidth="1"/>
    <col min="12" max="12" width="12.5703125" style="1" customWidth="1"/>
    <col min="13" max="13" width="1.5703125" style="1" customWidth="1"/>
    <col min="14" max="14" width="15.7109375" style="1" customWidth="1"/>
    <col min="15" max="15" width="1.7109375" style="1" customWidth="1"/>
    <col min="16" max="16" width="12" style="1" customWidth="1"/>
    <col min="17" max="17" width="10.28515625" style="1" customWidth="1"/>
    <col min="18" max="18" width="11.140625" style="1" customWidth="1"/>
    <col min="19" max="19" width="10.28515625" style="1" customWidth="1"/>
    <col min="20" max="20" width="15" style="1" customWidth="1"/>
    <col min="21" max="21" width="10.85546875" style="1" customWidth="1"/>
    <col min="22" max="22" width="13.28515625" style="1" customWidth="1"/>
    <col min="23" max="16384" width="9.140625" style="1"/>
  </cols>
  <sheetData>
    <row r="1" spans="2:22" ht="16.5" thickBot="1" x14ac:dyDescent="0.3"/>
    <row r="2" spans="2:22" x14ac:dyDescent="0.25">
      <c r="B2" s="63" t="s">
        <v>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5"/>
    </row>
    <row r="3" spans="2:22" x14ac:dyDescent="0.25">
      <c r="B3" s="66" t="str">
        <f>'1'!B3:V3</f>
        <v>с 1.01.2016 по 31.12.2016 г.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/>
    </row>
    <row r="4" spans="2:22" ht="16.5" thickBot="1" x14ac:dyDescent="0.3">
      <c r="B4" s="69" t="s">
        <v>32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1"/>
    </row>
    <row r="5" spans="2:22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2:22" x14ac:dyDescent="0.25">
      <c r="C6" s="29" t="s">
        <v>76</v>
      </c>
    </row>
    <row r="8" spans="2:22" x14ac:dyDescent="0.25">
      <c r="C8" s="1" t="s">
        <v>33</v>
      </c>
      <c r="D8" s="2">
        <f>'1'!D8+'2'!D8+'3'!D8+'4'!D8+'5'!D8+'6'!D8+'12'!D8+'13'!D8+'14'!D8+'16'!D8+'17'!D8+'18'!D8+'19'!D8+'20'!D8+'21'!D8+'22'!D8+'23'!D8+'24'!D8+'25'!D8+'26'!D8+'27'!D8</f>
        <v>28709.260000000002</v>
      </c>
    </row>
    <row r="9" spans="2:22" x14ac:dyDescent="0.25">
      <c r="C9" s="1" t="s">
        <v>35</v>
      </c>
      <c r="D9" s="3">
        <f>'1'!D9+'2'!D9+'3'!D9+'4'!D9+'5'!D9+'6'!D9+'12'!D9+'13'!D9+'14'!D9+'16'!D9+'17'!D9+'18'!D9+'19'!D9+'20'!D9+'21'!D9+'22'!D9+'23'!D9+'24'!D9+'25'!D9+'26'!D9+'27'!D9</f>
        <v>1599</v>
      </c>
    </row>
    <row r="10" spans="2:22" x14ac:dyDescent="0.25">
      <c r="C10" s="1" t="s">
        <v>36</v>
      </c>
      <c r="D10" s="3">
        <f>'1'!D10+'2'!D10+'3'!D10+'4'!D10+'5'!D10+'6'!D10+'12'!D10+'13'!D10+'14'!D10+'16'!D10+'17'!D10+'18'!D10+'19'!D10+'20'!D10+'21'!D10+'22'!D10+'23'!D10+'24'!D10+'25'!D10+'26'!D10+'27'!D10</f>
        <v>644</v>
      </c>
    </row>
    <row r="12" spans="2:22" ht="63" x14ac:dyDescent="0.25">
      <c r="C12" s="27" t="s">
        <v>1</v>
      </c>
      <c r="D12" s="59" t="str">
        <f>'1'!D12:E12</f>
        <v>Содержание общего имущества дома</v>
      </c>
      <c r="E12" s="60"/>
      <c r="F12" s="27" t="s">
        <v>8</v>
      </c>
      <c r="G12" s="7"/>
      <c r="H12" s="27" t="s">
        <v>113</v>
      </c>
      <c r="I12" s="7"/>
      <c r="J12" s="28" t="str">
        <f>'1'!J12</f>
        <v>Вывоз ТБО (руб./чел.)</v>
      </c>
      <c r="K12" s="7"/>
      <c r="L12" s="28" t="s">
        <v>67</v>
      </c>
      <c r="M12" s="7"/>
      <c r="N12" s="28" t="str">
        <f>'1'!N12</f>
        <v>Обслуживание антены (руб./лиц.сч.)</v>
      </c>
      <c r="O12" s="8"/>
      <c r="P12" s="59" t="str">
        <f>'1'!P12</f>
        <v xml:space="preserve">Хол. вода </v>
      </c>
      <c r="Q12" s="60"/>
      <c r="R12" s="59" t="str">
        <f>'1'!R12</f>
        <v xml:space="preserve">Гор. вода </v>
      </c>
      <c r="S12" s="60"/>
      <c r="T12" s="59" t="str">
        <f>'1'!T12</f>
        <v>Канализация</v>
      </c>
      <c r="U12" s="60"/>
      <c r="V12" s="27" t="s">
        <v>10</v>
      </c>
    </row>
    <row r="13" spans="2:22" x14ac:dyDescent="0.25">
      <c r="C13" s="9" t="s">
        <v>2</v>
      </c>
      <c r="D13" s="57"/>
      <c r="E13" s="58"/>
      <c r="F13" s="16"/>
      <c r="G13" s="7"/>
      <c r="H13" s="16"/>
      <c r="I13" s="7"/>
      <c r="J13" s="16"/>
      <c r="K13" s="7"/>
      <c r="L13" s="16"/>
      <c r="M13" s="7"/>
      <c r="N13" s="16"/>
      <c r="O13" s="7"/>
      <c r="P13" s="57"/>
      <c r="Q13" s="58"/>
      <c r="R13" s="57"/>
      <c r="S13" s="58"/>
      <c r="T13" s="57"/>
      <c r="U13" s="58"/>
      <c r="V13" s="41">
        <f>V14</f>
        <v>-6411732.0399999991</v>
      </c>
    </row>
    <row r="14" spans="2:22" ht="47.25" x14ac:dyDescent="0.25">
      <c r="C14" s="10" t="str">
        <f>'1'!C14</f>
        <v>Остаток с предыдущего периода (задолженность(-), переплата (+)) на 01.01.2016г.</v>
      </c>
      <c r="D14" s="57"/>
      <c r="E14" s="58"/>
      <c r="F14" s="16">
        <f>'1'!F14+'2'!F14+'3'!F14+'4'!F14+'5'!F14+'6'!F14+'12'!F14+'13'!F14+'14'!F14+'16'!F14+'17'!F14+'18'!F14+'19'!F14+'20'!F14+'21'!F14+'22'!F14+'23'!F14+'24'!F14+'25'!F14+'26'!F14+'27'!F14</f>
        <v>-1444920.0199999998</v>
      </c>
      <c r="G14" s="7"/>
      <c r="H14" s="16">
        <f>'1'!H14+'2'!H14+'3'!H14+'4'!H14+'5'!H14+'6'!H14+'12'!H14+'13'!H14+'14'!H14+'16'!H14+'17'!H14+'18'!H14+'19'!H14+'20'!H14+'21'!H14+'22'!H14+'23'!H14+'24'!H14+'25'!H14+'26'!H14+'27'!H14</f>
        <v>0</v>
      </c>
      <c r="I14" s="7"/>
      <c r="J14" s="16">
        <f>'1'!J14+'2'!J14+'3'!J14+'4'!J14+'5'!J14+'6'!J14+'12'!J14+'13'!J14+'14'!J14+'16'!J14+'17'!J14+'18'!J14+'19'!J14+'20'!J14+'21'!J14+'22'!J14+'23'!J14+'24'!J14+'25'!J14+'26'!J14+'27'!J14</f>
        <v>-237496.92999999996</v>
      </c>
      <c r="K14" s="7"/>
      <c r="L14" s="16">
        <f>'1'!L14+'2'!L14+'3'!L14+'4'!L14+'5'!L14+'6'!L14+'12'!L14+'13'!L14+'14'!L14+'16'!L14+'17'!L14+'18'!L14+'19'!L14+'20'!L14+'21'!L14+'22'!L14+'23'!L14+'24'!L14+'25'!L14+'26'!L14+'27'!L14</f>
        <v>-2913078.1600000006</v>
      </c>
      <c r="M14" s="7"/>
      <c r="N14" s="16">
        <f>'1'!N14+'2'!N14+'3'!N14+'4'!N14+'5'!N14+'6'!N14+'12'!N14+'13'!N14+'14'!N14+'16'!N14+'17'!N14+'18'!N14+'19'!N14+'20'!N14+'21'!N14+'22'!N14+'23'!N14+'24'!N14+'25'!N14+'26'!N14+'27'!N14</f>
        <v>-66135.509999999995</v>
      </c>
      <c r="O14" s="7"/>
      <c r="P14" s="57">
        <f>'1'!P14+'2'!P14+'3'!P14+'4'!P14+'5'!P14+'6'!P14+'12'!P14+'13'!P14+'14'!P14+'16'!P14+'17'!P14+'18'!P14+'19'!P14+'20'!P14+'21'!P14+'22'!P14+'23'!P14+'24'!P14+'25'!P14+'26'!P14+'27'!P14</f>
        <v>-208219.81</v>
      </c>
      <c r="Q14" s="58"/>
      <c r="R14" s="57">
        <f>'1'!R14+'2'!R14+'3'!R14+'4'!R14+'5'!R14+'6'!R14+'12'!R14+'13'!R14+'14'!R14+'16'!R14+'17'!R14+'18'!R14+'19'!R14+'20'!R14+'21'!R14+'22'!R14+'23'!R14+'24'!R14+'25'!R14+'26'!R14+'27'!R14</f>
        <v>-1058807.8799999999</v>
      </c>
      <c r="S14" s="58"/>
      <c r="T14" s="57">
        <f>'1'!T14+'2'!T14+'3'!T14+'4'!T14+'5'!T14+'6'!T14+'12'!T14+'13'!T14+'14'!T14+'16'!T14+'17'!T14+'18'!T14+'19'!T14+'20'!T14+'21'!T14+'22'!T14+'23'!T14+'24'!T14+'25'!T14+'26'!T14+'27'!T14</f>
        <v>-483074.22999999992</v>
      </c>
      <c r="U14" s="58"/>
      <c r="V14" s="23">
        <f>F14+H14+J14+L14+N14+P14+Q14+R14+S14+T14+U14+0.5</f>
        <v>-6411732.0399999991</v>
      </c>
    </row>
    <row r="15" spans="2:22" x14ac:dyDescent="0.25">
      <c r="C15" s="9" t="s">
        <v>3</v>
      </c>
      <c r="D15" s="57"/>
      <c r="E15" s="58"/>
      <c r="F15" s="16">
        <f>'1'!F15+'2'!F15+'3'!F15+'4'!F15+'5'!F15+'6'!F15+'12'!F15+'13'!F15+'14'!F15+'16'!F15+'17'!F15+'18'!F15+'19'!F15+'20'!F15+'21'!F15+'22'!F15+'23'!F15+'24'!F15+'25'!F15+'26'!F15+'27'!F15</f>
        <v>5132229.3600000013</v>
      </c>
      <c r="G15" s="7"/>
      <c r="H15" s="14">
        <f>'1'!H15+'2'!H15+'3'!H15+'4'!H15+'5'!H15+'6'!H15+'12'!H15+'13'!H15+'14'!H15+'16'!H15+'17'!H15+'18'!H15+'19'!H15+'20'!H15+'21'!H15+'22'!H15+'23'!H15+'24'!H15+'25'!H15+'26'!H15+'27'!H15</f>
        <v>135131.89000000001</v>
      </c>
      <c r="I15" s="7"/>
      <c r="J15" s="16">
        <f>'1'!J15+'2'!J15+'3'!J15+'4'!J15+'5'!J15+'6'!J15+'12'!J15+'13'!J15+'14'!J15+'16'!J15+'17'!J15+'18'!J15+'19'!J15+'20'!J15+'21'!J15+'22'!J15+'23'!J15+'24'!J15+'25'!J15+'26'!J15+'27'!J15</f>
        <v>788165.18</v>
      </c>
      <c r="K15" s="7"/>
      <c r="L15" s="16">
        <f>'1'!L15+'2'!L15+'3'!L15+'4'!L15+'5'!L15+'6'!L15+'12'!L15+'13'!L15+'14'!L15+'16'!L15+'17'!L15+'18'!L15+'19'!L15+'20'!L15+'21'!L15+'22'!L15+'23'!L15+'24'!L15+'25'!L15+'26'!L15+'27'!L15</f>
        <v>12212424.760000002</v>
      </c>
      <c r="M15" s="7"/>
      <c r="N15" s="16">
        <f>'1'!N15+'2'!N15+'3'!N15+'4'!N15+'5'!N15+'6'!N15+'12'!N15+'13'!N15+'14'!N15+'16'!N15+'17'!N15+'18'!N15+'19'!N15+'20'!N15+'21'!N15+'22'!N15+'23'!N15+'24'!N15+'25'!N15+'26'!N15+'27'!N15</f>
        <v>293950</v>
      </c>
      <c r="O15" s="7"/>
      <c r="P15" s="61">
        <f>'1'!P15+'2'!P15+'3'!P15+'4'!P15+'5'!P15+'6'!P15+'12'!P15+'13'!P15+'14'!P15+'16'!P15+'17'!P15+'18'!P15+'19'!P15+'20'!P15+'21'!P15+'22'!P15+'23'!P15+'24'!P15+'25'!P15+'26'!P15+'27'!P15</f>
        <v>621978.35000000009</v>
      </c>
      <c r="Q15" s="62"/>
      <c r="R15" s="57">
        <f>'1'!R15+'2'!R15+'3'!R15+'4'!R15+'5'!R15+'6'!R15+'12'!R15+'13'!R15+'14'!R15+'16'!R15+'17'!R15+'18'!R15+'19'!R15+'20'!R15+'21'!R15+'22'!R15+'23'!R15+'24'!R15+'25'!R15+'26'!R15+'27'!R15</f>
        <v>3100157.9999999995</v>
      </c>
      <c r="S15" s="58"/>
      <c r="T15" s="61">
        <f>'1'!T15+'2'!T15+'3'!T15+'4'!T15+'5'!T15+'6'!T15+'12'!T15+'13'!T15+'14'!T15+'16'!T15+'17'!T15+'18'!T15+'19'!T15+'20'!T15+'21'!T15+'22'!T15+'23'!T15+'24'!T15+'25'!T15+'26'!T15+'27'!T15</f>
        <v>1311540.7699999998</v>
      </c>
      <c r="U15" s="62"/>
      <c r="V15" s="16">
        <f>F15+H15+J15+L15+N15+P15+Q15+R15+S15+T15+U15</f>
        <v>23595578.310000002</v>
      </c>
    </row>
    <row r="16" spans="2:22" x14ac:dyDescent="0.25">
      <c r="C16" s="9" t="s">
        <v>4</v>
      </c>
      <c r="D16" s="57"/>
      <c r="E16" s="58"/>
      <c r="F16" s="16">
        <f>'1'!F16+'2'!F16+'3'!F16+'4'!F16+'5'!F16+'6'!F16+'12'!F16+'13'!F16+'14'!F16+'16'!F16+'17'!F16+'18'!F16+'19'!F16+'20'!F16+'21'!F16+'22'!F16+'23'!F16+'24'!F16+'25'!F16+'26'!F16+'27'!F16</f>
        <v>5086472.09</v>
      </c>
      <c r="G16" s="7"/>
      <c r="H16" s="14">
        <f>'1'!H16+'2'!H16+'3'!H16+'4'!H16+'5'!H16+'6'!H16+'12'!H16+'13'!H16+'14'!H16+'16'!H16+'17'!H16+'18'!H16+'19'!H16+'20'!H16+'21'!H16+'22'!H16+'23'!H16+'24'!H16+'25'!H16+'26'!H16+'27'!H16</f>
        <v>120279.36</v>
      </c>
      <c r="I16" s="7"/>
      <c r="J16" s="16">
        <f>'1'!J16+'2'!J16+'3'!J16+'4'!J16+'5'!J16+'6'!J16+'12'!J16+'13'!J16+'14'!J16+'16'!J16+'17'!J16+'18'!J16+'19'!J16+'20'!J16+'21'!J16+'22'!J16+'23'!J16+'24'!J16+'25'!J16+'26'!J16+'27'!J16</f>
        <v>794105.2699999999</v>
      </c>
      <c r="K16" s="7"/>
      <c r="L16" s="16">
        <f>'1'!L16+'2'!L16+'3'!L16+'4'!L16+'5'!L16+'6'!L16+'12'!L16+'13'!L16+'14'!L16+'16'!L16+'17'!L16+'18'!L16+'19'!L16+'20'!L16+'21'!L16+'22'!L16+'23'!L16+'24'!L16+'25'!L16+'26'!L16+'27'!L16</f>
        <v>11792323.330000002</v>
      </c>
      <c r="M16" s="7"/>
      <c r="N16" s="14">
        <f>'1'!N16+'2'!N16+'3'!N16+'4'!N16+'5'!N16+'6'!N16+'12'!N16+'13'!N16+'14'!N16+'16'!N16+'17'!N16+'18'!N16+'19'!N16+'20'!N16+'21'!N16+'22'!N16+'23'!N16+'24'!N16+'25'!N16+'26'!N16+'27'!N16</f>
        <v>284905.69</v>
      </c>
      <c r="O16" s="7"/>
      <c r="P16" s="61">
        <f>'1'!P16+'2'!P16+'3'!P16+'4'!P16+'5'!P16+'6'!P16+'12'!P16+'13'!P16+'14'!P16+'16'!P16+'17'!P16+'18'!P16+'19'!P16+'20'!P16+'21'!P16+'22'!P16+'23'!P16+'24'!P16+'25'!P16+'26'!P16+'27'!P16</f>
        <v>610956.79</v>
      </c>
      <c r="Q16" s="62"/>
      <c r="R16" s="57">
        <f>'1'!R16+'2'!R16+'3'!R16+'4'!R16+'5'!R16+'6'!R16+'12'!R16+'13'!R16+'14'!R16+'16'!R16+'17'!R16+'18'!R16+'19'!R16+'20'!R16+'21'!R16+'22'!R16+'23'!R16+'24'!R16+'25'!R16+'26'!R16+'27'!R16</f>
        <v>3056012.3900000006</v>
      </c>
      <c r="S16" s="58"/>
      <c r="T16" s="61">
        <f>'1'!T16+'2'!T16+'3'!T16+'4'!T16+'5'!T16+'6'!T16+'12'!T16+'13'!T16+'14'!T16+'16'!T16+'17'!T16+'18'!T16+'19'!T16+'20'!T16+'21'!T16+'22'!T16+'23'!T16+'24'!T16+'25'!T16+'26'!T16+'27'!T16</f>
        <v>1319003.5599999998</v>
      </c>
      <c r="U16" s="62"/>
      <c r="V16" s="23">
        <f>F16+H16+J16+L16+N16+P16+Q16+R16+S16+T16+U16</f>
        <v>23064058.48</v>
      </c>
    </row>
    <row r="17" spans="2:22" ht="31.5" x14ac:dyDescent="0.25">
      <c r="C17" s="10" t="s">
        <v>5</v>
      </c>
      <c r="D17" s="57"/>
      <c r="E17" s="58"/>
      <c r="F17" s="54">
        <f>'1'!F17+'2'!F17+'3'!F17+'4'!F17+'5'!F17+'6'!F17+'12'!F17+'13'!F17+'14'!F17+'16'!F17+'17'!F17+'18'!F17+'19'!F17+'20'!F17+'21'!F17+'22'!F17+'23'!F17+'24'!F17+'25'!F17+'26'!F17+'27'!F17</f>
        <v>5845363.8847656325</v>
      </c>
      <c r="G17" s="7"/>
      <c r="H17" s="14">
        <f>'1'!H17+'2'!H17+'3'!H17+'4'!H17+'5'!H17+'6'!H17+'12'!H17+'13'!H17+'14'!H17+'16'!H17+'17'!H17+'18'!H17+'19'!H17+'20'!H17+'21'!H17+'22'!H17+'23'!H17+'24'!H17+'25'!H17+'26'!H17+'27'!H17</f>
        <v>93804.18</v>
      </c>
      <c r="I17" s="7"/>
      <c r="J17" s="16">
        <f>'1'!J17+'2'!J17+'3'!J17+'4'!J17+'5'!J17+'6'!J17+'12'!J17+'13'!J17+'14'!J17+'16'!J17+'17'!J17+'18'!J17+'19'!J17+'20'!J17+'21'!J17+'22'!J17+'23'!J17+'24'!J17+'25'!J17+'26'!J17+'27'!J17</f>
        <v>1179547.96</v>
      </c>
      <c r="K17" s="7"/>
      <c r="L17" s="16">
        <f>'1'!L17+'2'!L17+'3'!L17+'4'!L17+'5'!L17+'6'!L17+'12'!L17+'13'!L17+'14'!L17+'16'!L17+'17'!L17+'18'!L17+'19'!L17+'20'!L17+'21'!L17+'22'!L17+'23'!L17+'24'!L17+'25'!L17+'26'!L17+'27'!L17</f>
        <v>11358378.376600001</v>
      </c>
      <c r="M17" s="7"/>
      <c r="N17" s="14">
        <f>'1'!N17+'2'!N17+'3'!N17+'4'!N17+'5'!N17+'6'!N17+'12'!N17+'13'!N17+'14'!N17+'16'!N17+'17'!N17+'18'!N17+'19'!N17+'20'!N17+'21'!N17+'22'!N17+'23'!N17+'24'!N17+'25'!N17+'26'!N17+'27'!N17</f>
        <v>215390.21599999996</v>
      </c>
      <c r="O17" s="7"/>
      <c r="P17" s="61">
        <f>'1'!P17:Q17+'2'!P17:Q17+'3'!P17:Q17+'4'!P17:Q17+'5'!P17:Q17+'6'!P17:Q17+'12'!P17:Q17+'13'!P17:Q17+'14'!P17:Q17+'16'!P17:Q17+'17'!P17:Q17+'18'!P17:Q17+'19'!P17:Q17+'20'!P17:Q17+'21'!P17:Q17+'22'!P17:Q17+'23'!P17:Q17+'24'!P17:Q17+'25'!P17:Q17+'26'!P17:Q17+'27'!P17:Q17</f>
        <v>3030063.2600000002</v>
      </c>
      <c r="Q17" s="62"/>
      <c r="R17" s="61">
        <f>'1'!R17:S17+'2'!R17:S17+'3'!R17:S17+'4'!R17:S17+'5'!R17:S17+'6'!R17:S17+'12'!R17:S17+'13'!R17:S17+'14'!R17:S17+'16'!R17:S17+'17'!R17:S17+'18'!R17:S17+'19'!R17:S17+'20'!R17:S17+'21'!R17:S17+'22'!R17:S17+'23'!R17:S17+'24'!R17:S17+'25'!R17:S17+'26'!R17:S17+'27'!R17:S17</f>
        <v>3100157.9999999995</v>
      </c>
      <c r="S17" s="62"/>
      <c r="T17" s="61">
        <f>'1'!T17:U17+'2'!T17:U17+'3'!T17:U17+'4'!T17:U17+'5'!T17:U17+'6'!T17:U17+'12'!T17:U17+'13'!T17:U17+'14'!T17:U17+'16'!T17:U17+'17'!T17:U17+'18'!T17:U17+'19'!T17:U17+'20'!T17:U17+'21'!T17:U17+'22'!T17:U17+'23'!T17:U17+'24'!T17:U17+'25'!T17:U17+'26'!T17:U17+'27'!T17:U17</f>
        <v>1311540.7699999998</v>
      </c>
      <c r="U17" s="62"/>
      <c r="V17" s="14">
        <f>F17+H17+J17+L17+N17+P17+Q17+R17+S17+T17+U17</f>
        <v>26134246.647365633</v>
      </c>
    </row>
    <row r="18" spans="2:22" ht="31.5" x14ac:dyDescent="0.25">
      <c r="C18" s="10" t="str">
        <f>'1'!C18</f>
        <v>Текущий остаток (задолженность (-), переплата (+)) на 31.12.2016 г.</v>
      </c>
      <c r="D18" s="57"/>
      <c r="E18" s="58"/>
      <c r="F18" s="31">
        <f>F16-F15+F14</f>
        <v>-1490677.2900000012</v>
      </c>
      <c r="G18" s="32"/>
      <c r="H18" s="33">
        <f>H16-H15+H14</f>
        <v>-14852.530000000013</v>
      </c>
      <c r="I18" s="32"/>
      <c r="J18" s="31">
        <f>J16-J15+J14</f>
        <v>-231556.84000000011</v>
      </c>
      <c r="K18" s="32"/>
      <c r="L18" s="33">
        <f>L16-L15+L14</f>
        <v>-3333179.5900000003</v>
      </c>
      <c r="M18" s="32"/>
      <c r="N18" s="31">
        <f>N16-N15+N14</f>
        <v>-75179.819999999992</v>
      </c>
      <c r="O18" s="32"/>
      <c r="P18" s="55">
        <f t="shared" ref="P18:V18" si="0">P16-P15+P14</f>
        <v>-219241.37000000005</v>
      </c>
      <c r="Q18" s="56"/>
      <c r="R18" s="55">
        <f t="shared" si="0"/>
        <v>-1102953.4899999988</v>
      </c>
      <c r="S18" s="56"/>
      <c r="T18" s="55">
        <f t="shared" si="0"/>
        <v>-475611.43999999989</v>
      </c>
      <c r="U18" s="56"/>
      <c r="V18" s="43">
        <f t="shared" si="0"/>
        <v>-6943251.870000001</v>
      </c>
    </row>
    <row r="19" spans="2:22" x14ac:dyDescent="0.25">
      <c r="C19" s="9" t="s">
        <v>6</v>
      </c>
      <c r="D19" s="57"/>
      <c r="E19" s="58"/>
      <c r="F19" s="16"/>
      <c r="G19" s="7"/>
      <c r="H19" s="16"/>
      <c r="I19" s="7"/>
      <c r="J19" s="16"/>
      <c r="K19" s="7"/>
      <c r="L19" s="16"/>
      <c r="M19" s="7"/>
      <c r="N19" s="16"/>
      <c r="O19" s="7"/>
      <c r="P19" s="57"/>
      <c r="Q19" s="58"/>
      <c r="R19" s="57"/>
      <c r="S19" s="58"/>
      <c r="T19" s="57"/>
      <c r="U19" s="58"/>
      <c r="V19" s="41">
        <f>F18+H18+J18+L18+N18+P18+Q18+R18+S18+T18+U18</f>
        <v>-6943252.370000001</v>
      </c>
    </row>
    <row r="20" spans="2:22" x14ac:dyDescent="0.25">
      <c r="C20" s="9" t="str">
        <f>'1'!C20</f>
        <v>Тариф (руб/м²), 1-е полугодие</v>
      </c>
      <c r="D20" s="57"/>
      <c r="E20" s="58"/>
      <c r="F20" s="16">
        <f>'1'!F20</f>
        <v>15.31</v>
      </c>
      <c r="G20" s="7"/>
      <c r="H20" s="16">
        <f>'1'!H20</f>
        <v>37.700000000000003</v>
      </c>
      <c r="I20" s="7"/>
      <c r="J20" s="16">
        <f>'1'!J20</f>
        <v>44.32</v>
      </c>
      <c r="K20" s="7"/>
      <c r="L20" s="16"/>
      <c r="M20" s="7"/>
      <c r="N20" s="16">
        <f>'1'!N20</f>
        <v>50</v>
      </c>
      <c r="O20" s="7"/>
      <c r="P20" s="57" t="str">
        <f>'1'!P20</f>
        <v xml:space="preserve">15,02 руб./м3 </v>
      </c>
      <c r="Q20" s="58"/>
      <c r="R20" s="57" t="str">
        <f>'1'!R20</f>
        <v>99,55 руб./м3</v>
      </c>
      <c r="S20" s="58"/>
      <c r="T20" s="57" t="str">
        <f>'1'!T20</f>
        <v>18,66 руб./м3</v>
      </c>
      <c r="U20" s="58"/>
      <c r="V20" s="16"/>
    </row>
    <row r="21" spans="2:22" x14ac:dyDescent="0.25">
      <c r="C21" s="9" t="str">
        <f>'1'!C21</f>
        <v>Тариф (руб/м²), 2-е полугодие</v>
      </c>
      <c r="D21" s="52"/>
      <c r="E21" s="53"/>
      <c r="F21" s="21">
        <f>'1'!F21</f>
        <v>15.31</v>
      </c>
      <c r="G21" s="7"/>
      <c r="H21" s="21"/>
      <c r="I21" s="7"/>
      <c r="J21" s="21">
        <f>'1'!J21</f>
        <v>44.32</v>
      </c>
      <c r="K21" s="7"/>
      <c r="L21" s="21"/>
      <c r="M21" s="7"/>
      <c r="N21" s="21">
        <f>'1'!N21</f>
        <v>50</v>
      </c>
      <c r="O21" s="7"/>
      <c r="P21" s="57" t="str">
        <f>'1'!P21:Q21</f>
        <v>15,63 руб./м³</v>
      </c>
      <c r="Q21" s="58"/>
      <c r="R21" s="57" t="str">
        <f>'1'!R21:S21</f>
        <v>102,59 руб./м³</v>
      </c>
      <c r="S21" s="58"/>
      <c r="T21" s="57" t="str">
        <f>'1'!T21:U21</f>
        <v>19,41 руб./м³</v>
      </c>
      <c r="U21" s="58"/>
      <c r="V21" s="21"/>
    </row>
    <row r="22" spans="2:22" x14ac:dyDescent="0.25">
      <c r="C22" s="9" t="s">
        <v>44</v>
      </c>
      <c r="D22" s="57"/>
      <c r="E22" s="58"/>
      <c r="F22" s="18">
        <f>N44</f>
        <v>16.808246099999998</v>
      </c>
      <c r="G22" s="7"/>
      <c r="H22" s="16"/>
      <c r="I22" s="7"/>
      <c r="J22" s="16"/>
      <c r="K22" s="7"/>
      <c r="L22" s="16"/>
      <c r="M22" s="7"/>
      <c r="N22" s="16"/>
      <c r="O22" s="7"/>
      <c r="P22" s="57"/>
      <c r="Q22" s="58"/>
      <c r="R22" s="57"/>
      <c r="S22" s="58"/>
      <c r="T22" s="57"/>
      <c r="U22" s="58"/>
      <c r="V22" s="16"/>
    </row>
    <row r="23" spans="2:22" x14ac:dyDescent="0.25">
      <c r="F23" s="48">
        <f>F17/F22/12</f>
        <v>28980.635704983088</v>
      </c>
    </row>
    <row r="24" spans="2:22" x14ac:dyDescent="0.25">
      <c r="C24" s="5" t="s">
        <v>11</v>
      </c>
      <c r="F24" s="48">
        <f>F17/D8/12</f>
        <v>16.967126880449118</v>
      </c>
    </row>
    <row r="25" spans="2:22" x14ac:dyDescent="0.25">
      <c r="C25" s="1" t="s">
        <v>12</v>
      </c>
      <c r="J25" s="34">
        <f>V19/V15*100</f>
        <v>-29.42607415160235</v>
      </c>
      <c r="K25" s="35" t="s">
        <v>37</v>
      </c>
    </row>
    <row r="27" spans="2:22" x14ac:dyDescent="0.25">
      <c r="T27" s="46"/>
    </row>
    <row r="28" spans="2:22" ht="42" customHeight="1" x14ac:dyDescent="0.25">
      <c r="B28" s="27" t="s">
        <v>13</v>
      </c>
      <c r="C28" s="72" t="s">
        <v>14</v>
      </c>
      <c r="D28" s="72"/>
      <c r="E28" s="72"/>
      <c r="F28" s="72"/>
      <c r="G28" s="72"/>
      <c r="H28" s="72"/>
      <c r="I28" s="72"/>
      <c r="J28" s="72"/>
      <c r="K28" s="72"/>
      <c r="L28" s="73" t="s">
        <v>45</v>
      </c>
      <c r="M28" s="73"/>
      <c r="N28" s="73" t="s">
        <v>46</v>
      </c>
      <c r="O28" s="73"/>
      <c r="P28" s="27" t="s">
        <v>28</v>
      </c>
    </row>
    <row r="29" spans="2:22" x14ac:dyDescent="0.25">
      <c r="B29" s="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4"/>
    </row>
    <row r="30" spans="2:22" x14ac:dyDescent="0.25">
      <c r="B30" s="90" t="s">
        <v>7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</row>
    <row r="31" spans="2:22" x14ac:dyDescent="0.25">
      <c r="B31" s="4">
        <v>1</v>
      </c>
      <c r="C31" s="76" t="s">
        <v>15</v>
      </c>
      <c r="D31" s="76"/>
      <c r="E31" s="76"/>
      <c r="F31" s="76"/>
      <c r="G31" s="76"/>
      <c r="H31" s="76"/>
      <c r="I31" s="76"/>
      <c r="J31" s="76"/>
      <c r="K31" s="76"/>
      <c r="L31" s="74">
        <f>D8</f>
        <v>28709.260000000002</v>
      </c>
      <c r="M31" s="74"/>
      <c r="N31" s="77">
        <f>'1'!N31:O31</f>
        <v>3.5</v>
      </c>
      <c r="O31" s="77"/>
      <c r="P31" s="17">
        <f>L31*N31*12</f>
        <v>1205788.92</v>
      </c>
    </row>
    <row r="32" spans="2:22" x14ac:dyDescent="0.25">
      <c r="B32" s="4">
        <v>2</v>
      </c>
      <c r="C32" s="76" t="s">
        <v>34</v>
      </c>
      <c r="D32" s="76"/>
      <c r="E32" s="76"/>
      <c r="F32" s="76"/>
      <c r="G32" s="76"/>
      <c r="H32" s="76"/>
      <c r="I32" s="76"/>
      <c r="J32" s="76"/>
      <c r="K32" s="76"/>
      <c r="L32" s="74">
        <f>L31</f>
        <v>28709.260000000002</v>
      </c>
      <c r="M32" s="74"/>
      <c r="N32" s="77">
        <f>'1'!N32:O32</f>
        <v>0.98752150000000005</v>
      </c>
      <c r="O32" s="77"/>
      <c r="P32" s="17">
        <f t="shared" ref="P32:P43" si="1">L32*N32*12</f>
        <v>340212.13798908005</v>
      </c>
    </row>
    <row r="33" spans="2:20" x14ac:dyDescent="0.25">
      <c r="B33" s="4">
        <v>3</v>
      </c>
      <c r="C33" s="76" t="s">
        <v>16</v>
      </c>
      <c r="D33" s="76"/>
      <c r="E33" s="76"/>
      <c r="F33" s="76"/>
      <c r="G33" s="76"/>
      <c r="H33" s="76"/>
      <c r="I33" s="76"/>
      <c r="J33" s="76"/>
      <c r="K33" s="76"/>
      <c r="L33" s="74">
        <f>L32</f>
        <v>28709.260000000002</v>
      </c>
      <c r="M33" s="74"/>
      <c r="N33" s="77">
        <f>'1'!N33:O33</f>
        <v>2.8257476000000001</v>
      </c>
      <c r="O33" s="77"/>
      <c r="P33" s="17">
        <f t="shared" si="1"/>
        <v>973501.47051331215</v>
      </c>
    </row>
    <row r="34" spans="2:20" x14ac:dyDescent="0.25">
      <c r="B34" s="4">
        <v>4</v>
      </c>
      <c r="C34" s="76" t="s">
        <v>17</v>
      </c>
      <c r="D34" s="76"/>
      <c r="E34" s="76"/>
      <c r="F34" s="76"/>
      <c r="G34" s="76"/>
      <c r="H34" s="76"/>
      <c r="I34" s="76"/>
      <c r="J34" s="76"/>
      <c r="K34" s="76"/>
      <c r="L34" s="74">
        <f>L32</f>
        <v>28709.260000000002</v>
      </c>
      <c r="M34" s="74"/>
      <c r="N34" s="77">
        <f>'1'!N34:O34</f>
        <v>1</v>
      </c>
      <c r="O34" s="77"/>
      <c r="P34" s="17">
        <f t="shared" si="1"/>
        <v>344511.12</v>
      </c>
    </row>
    <row r="35" spans="2:20" x14ac:dyDescent="0.25">
      <c r="B35" s="4">
        <v>5</v>
      </c>
      <c r="C35" s="76" t="s">
        <v>18</v>
      </c>
      <c r="D35" s="76"/>
      <c r="E35" s="76"/>
      <c r="F35" s="76"/>
      <c r="G35" s="76"/>
      <c r="H35" s="76"/>
      <c r="I35" s="76"/>
      <c r="J35" s="76"/>
      <c r="K35" s="76"/>
      <c r="L35" s="74">
        <f t="shared" ref="L35:L44" si="2">L34</f>
        <v>28709.260000000002</v>
      </c>
      <c r="M35" s="74"/>
      <c r="N35" s="77">
        <f>'1'!N35:O35</f>
        <v>2</v>
      </c>
      <c r="O35" s="77"/>
      <c r="P35" s="17">
        <f t="shared" si="1"/>
        <v>689022.24</v>
      </c>
      <c r="T35" s="46"/>
    </row>
    <row r="36" spans="2:20" x14ac:dyDescent="0.25">
      <c r="B36" s="4">
        <v>6</v>
      </c>
      <c r="C36" s="76" t="s">
        <v>24</v>
      </c>
      <c r="D36" s="76"/>
      <c r="E36" s="76"/>
      <c r="F36" s="76"/>
      <c r="G36" s="76"/>
      <c r="H36" s="76"/>
      <c r="I36" s="76"/>
      <c r="J36" s="76"/>
      <c r="K36" s="76"/>
      <c r="L36" s="74">
        <f t="shared" si="2"/>
        <v>28709.260000000002</v>
      </c>
      <c r="M36" s="74"/>
      <c r="N36" s="77">
        <f>'1'!N36:O36</f>
        <v>3</v>
      </c>
      <c r="O36" s="77"/>
      <c r="P36" s="17">
        <f t="shared" si="1"/>
        <v>1033533.36</v>
      </c>
      <c r="T36" s="46"/>
    </row>
    <row r="37" spans="2:20" x14ac:dyDescent="0.25">
      <c r="B37" s="4">
        <v>7</v>
      </c>
      <c r="C37" s="76" t="s">
        <v>19</v>
      </c>
      <c r="D37" s="76"/>
      <c r="E37" s="76"/>
      <c r="F37" s="76"/>
      <c r="G37" s="76"/>
      <c r="H37" s="76"/>
      <c r="I37" s="76"/>
      <c r="J37" s="76"/>
      <c r="K37" s="76"/>
      <c r="L37" s="74">
        <f t="shared" si="2"/>
        <v>28709.260000000002</v>
      </c>
      <c r="M37" s="74"/>
      <c r="N37" s="77">
        <f>'1'!N37:O37</f>
        <v>0.5</v>
      </c>
      <c r="O37" s="77"/>
      <c r="P37" s="17">
        <f t="shared" si="1"/>
        <v>172255.56</v>
      </c>
      <c r="T37" s="46"/>
    </row>
    <row r="38" spans="2:20" x14ac:dyDescent="0.25">
      <c r="B38" s="4">
        <v>8</v>
      </c>
      <c r="C38" s="76" t="s">
        <v>20</v>
      </c>
      <c r="D38" s="76"/>
      <c r="E38" s="76"/>
      <c r="F38" s="76"/>
      <c r="G38" s="76"/>
      <c r="H38" s="76"/>
      <c r="I38" s="76"/>
      <c r="J38" s="76"/>
      <c r="K38" s="76"/>
      <c r="L38" s="74">
        <f t="shared" si="2"/>
        <v>28709.260000000002</v>
      </c>
      <c r="M38" s="74"/>
      <c r="N38" s="77">
        <f>'1'!N38:O38</f>
        <v>1.694977</v>
      </c>
      <c r="O38" s="77"/>
      <c r="P38" s="17">
        <f t="shared" si="1"/>
        <v>583938.42464424006</v>
      </c>
    </row>
    <row r="39" spans="2:20" x14ac:dyDescent="0.25">
      <c r="B39" s="4">
        <v>9</v>
      </c>
      <c r="C39" s="76" t="s">
        <v>84</v>
      </c>
      <c r="D39" s="76"/>
      <c r="E39" s="76"/>
      <c r="F39" s="76"/>
      <c r="G39" s="76"/>
      <c r="H39" s="76"/>
      <c r="I39" s="76"/>
      <c r="J39" s="76"/>
      <c r="K39" s="76"/>
      <c r="L39" s="74">
        <f t="shared" si="2"/>
        <v>28709.260000000002</v>
      </c>
      <c r="M39" s="74"/>
      <c r="N39" s="77">
        <f>'1'!N39:O39</f>
        <v>0.1</v>
      </c>
      <c r="O39" s="77"/>
      <c r="P39" s="17">
        <f t="shared" si="1"/>
        <v>34451.112000000008</v>
      </c>
    </row>
    <row r="40" spans="2:20" x14ac:dyDescent="0.25">
      <c r="B40" s="4">
        <v>10</v>
      </c>
      <c r="C40" s="76" t="s">
        <v>21</v>
      </c>
      <c r="D40" s="76"/>
      <c r="E40" s="76"/>
      <c r="F40" s="76"/>
      <c r="G40" s="76"/>
      <c r="H40" s="76"/>
      <c r="I40" s="76"/>
      <c r="J40" s="76"/>
      <c r="K40" s="76"/>
      <c r="L40" s="74">
        <f t="shared" si="2"/>
        <v>28709.260000000002</v>
      </c>
      <c r="M40" s="74"/>
      <c r="N40" s="77">
        <f>'1'!N40:O40</f>
        <v>0.2</v>
      </c>
      <c r="O40" s="77"/>
      <c r="P40" s="17">
        <f t="shared" si="1"/>
        <v>68902.224000000017</v>
      </c>
    </row>
    <row r="41" spans="2:20" x14ac:dyDescent="0.25">
      <c r="B41" s="4">
        <v>11</v>
      </c>
      <c r="C41" s="76" t="s">
        <v>22</v>
      </c>
      <c r="D41" s="76"/>
      <c r="E41" s="76"/>
      <c r="F41" s="76"/>
      <c r="G41" s="76"/>
      <c r="H41" s="76"/>
      <c r="I41" s="76"/>
      <c r="J41" s="76"/>
      <c r="K41" s="76"/>
      <c r="L41" s="74">
        <f t="shared" si="2"/>
        <v>28709.260000000002</v>
      </c>
      <c r="M41" s="74"/>
      <c r="N41" s="77">
        <f>'1'!N41:O41</f>
        <v>0.5</v>
      </c>
      <c r="O41" s="77"/>
      <c r="P41" s="17">
        <f t="shared" si="1"/>
        <v>172255.56</v>
      </c>
    </row>
    <row r="42" spans="2:20" hidden="1" x14ac:dyDescent="0.25">
      <c r="B42" s="4">
        <v>12</v>
      </c>
      <c r="C42" s="76" t="s">
        <v>23</v>
      </c>
      <c r="D42" s="76"/>
      <c r="E42" s="76"/>
      <c r="F42" s="76"/>
      <c r="G42" s="76"/>
      <c r="H42" s="76"/>
      <c r="I42" s="76"/>
      <c r="J42" s="76"/>
      <c r="K42" s="76"/>
      <c r="L42" s="74">
        <f t="shared" si="2"/>
        <v>28709.260000000002</v>
      </c>
      <c r="M42" s="74"/>
      <c r="N42" s="77">
        <f>'1'!N42:O42</f>
        <v>0</v>
      </c>
      <c r="O42" s="77"/>
      <c r="P42" s="17">
        <f t="shared" si="1"/>
        <v>0</v>
      </c>
    </row>
    <row r="43" spans="2:20" x14ac:dyDescent="0.25">
      <c r="B43" s="4">
        <v>12</v>
      </c>
      <c r="C43" s="76" t="s">
        <v>25</v>
      </c>
      <c r="D43" s="76"/>
      <c r="E43" s="76"/>
      <c r="F43" s="76"/>
      <c r="G43" s="76"/>
      <c r="H43" s="76"/>
      <c r="I43" s="76"/>
      <c r="J43" s="76"/>
      <c r="K43" s="76"/>
      <c r="L43" s="74">
        <f t="shared" si="2"/>
        <v>28709.260000000002</v>
      </c>
      <c r="M43" s="74"/>
      <c r="N43" s="77">
        <f>'1'!N43:O43</f>
        <v>0.5</v>
      </c>
      <c r="O43" s="77"/>
      <c r="P43" s="17">
        <f t="shared" si="1"/>
        <v>172255.56</v>
      </c>
    </row>
    <row r="44" spans="2:20" x14ac:dyDescent="0.25">
      <c r="B44" s="38"/>
      <c r="C44" s="78" t="s">
        <v>26</v>
      </c>
      <c r="D44" s="78"/>
      <c r="E44" s="78"/>
      <c r="F44" s="78"/>
      <c r="G44" s="78"/>
      <c r="H44" s="78"/>
      <c r="I44" s="78"/>
      <c r="J44" s="78"/>
      <c r="K44" s="78"/>
      <c r="L44" s="79">
        <f t="shared" si="2"/>
        <v>28709.260000000002</v>
      </c>
      <c r="M44" s="79"/>
      <c r="N44" s="91">
        <f>SUM(N31:O43)</f>
        <v>16.808246099999998</v>
      </c>
      <c r="O44" s="91"/>
      <c r="P44" s="39">
        <f>SUM(P31:P43)</f>
        <v>5790627.6891466314</v>
      </c>
      <c r="Q44" s="25"/>
    </row>
    <row r="45" spans="2:20" x14ac:dyDescent="0.25">
      <c r="B45" s="90" t="s">
        <v>27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</row>
    <row r="46" spans="2:20" x14ac:dyDescent="0.25">
      <c r="B46" s="4">
        <v>1</v>
      </c>
      <c r="C46" s="82"/>
      <c r="D46" s="83"/>
      <c r="E46" s="83"/>
      <c r="F46" s="83"/>
      <c r="G46" s="83"/>
      <c r="H46" s="83"/>
      <c r="I46" s="83"/>
      <c r="J46" s="83"/>
      <c r="K46" s="84"/>
      <c r="L46" s="74">
        <f>L44</f>
        <v>28709.260000000002</v>
      </c>
      <c r="M46" s="74"/>
      <c r="N46" s="77"/>
      <c r="O46" s="77"/>
      <c r="P46" s="17">
        <f>'1'!P46+'26'!P46+'22'!P46-121187.46</f>
        <v>54736.189999999988</v>
      </c>
    </row>
    <row r="47" spans="2:20" ht="18.75" hidden="1" customHeight="1" x14ac:dyDescent="0.25">
      <c r="B47" s="4">
        <v>1</v>
      </c>
      <c r="C47" s="82" t="s">
        <v>73</v>
      </c>
      <c r="D47" s="83"/>
      <c r="E47" s="83"/>
      <c r="F47" s="83"/>
      <c r="G47" s="83"/>
      <c r="H47" s="83"/>
      <c r="I47" s="83"/>
      <c r="J47" s="83"/>
      <c r="K47" s="84"/>
      <c r="L47" s="74">
        <f>L46</f>
        <v>28709.260000000002</v>
      </c>
      <c r="M47" s="74"/>
      <c r="N47" s="77">
        <f>P47/L47/6</f>
        <v>0</v>
      </c>
      <c r="O47" s="77"/>
      <c r="P47" s="17"/>
    </row>
    <row r="48" spans="2:20" hidden="1" x14ac:dyDescent="0.25">
      <c r="B48" s="4">
        <v>2</v>
      </c>
      <c r="C48" s="82" t="s">
        <v>74</v>
      </c>
      <c r="D48" s="83"/>
      <c r="E48" s="83"/>
      <c r="F48" s="83"/>
      <c r="G48" s="83"/>
      <c r="H48" s="83"/>
      <c r="I48" s="83"/>
      <c r="J48" s="83"/>
      <c r="K48" s="84"/>
      <c r="L48" s="74">
        <f>L47</f>
        <v>28709.260000000002</v>
      </c>
      <c r="M48" s="74"/>
      <c r="N48" s="77">
        <f t="shared" ref="N48:N49" si="3">P48/L48/6</f>
        <v>0</v>
      </c>
      <c r="O48" s="77"/>
      <c r="P48" s="17">
        <f>'1'!P48+'2'!P47+'3'!P47+'4'!P47+'5'!P47+'6'!P47+'12'!P47+'13'!P48+'14'!P48+'16'!P47+'17'!P47+'18'!P47+'19'!P47+'20'!P47+'21'!P47+'22'!P47+'23'!P47+'24'!P47+'25'!P47+'26'!P47+'27'!P48</f>
        <v>0</v>
      </c>
    </row>
    <row r="49" spans="2:17" ht="15.75" hidden="1" customHeight="1" x14ac:dyDescent="0.25">
      <c r="B49" s="4">
        <v>3</v>
      </c>
      <c r="C49" s="82" t="s">
        <v>91</v>
      </c>
      <c r="D49" s="83"/>
      <c r="E49" s="83"/>
      <c r="F49" s="83"/>
      <c r="G49" s="83"/>
      <c r="H49" s="83"/>
      <c r="I49" s="83"/>
      <c r="J49" s="83"/>
      <c r="K49" s="84"/>
      <c r="L49" s="74">
        <v>1441.26</v>
      </c>
      <c r="M49" s="74"/>
      <c r="N49" s="85">
        <f t="shared" si="3"/>
        <v>0</v>
      </c>
      <c r="O49" s="85"/>
      <c r="P49" s="17">
        <f>'1'!P49+'2'!P48+'3'!P48+'4'!P48+'5'!P48+'6'!P48+'12'!P48+'13'!P49+'14'!P49+'16'!P48+'17'!P48+'18'!P48+'19'!P48+'20'!P48+'21'!P48+'22'!P48+'23'!P48+'24'!P48+'25'!P48+'26'!P48+'27'!P49</f>
        <v>0</v>
      </c>
    </row>
    <row r="50" spans="2:17" x14ac:dyDescent="0.25">
      <c r="B50" s="38"/>
      <c r="C50" s="86" t="s">
        <v>29</v>
      </c>
      <c r="D50" s="87"/>
      <c r="E50" s="87"/>
      <c r="F50" s="87"/>
      <c r="G50" s="87"/>
      <c r="H50" s="87"/>
      <c r="I50" s="87"/>
      <c r="J50" s="87"/>
      <c r="K50" s="88"/>
      <c r="L50" s="79">
        <f>L48</f>
        <v>28709.260000000002</v>
      </c>
      <c r="M50" s="79"/>
      <c r="N50" s="91">
        <f>P50/L50/12</f>
        <v>0.15888076413905008</v>
      </c>
      <c r="O50" s="91"/>
      <c r="P50" s="39">
        <f>SUM(P46:P49)</f>
        <v>54736.189999999988</v>
      </c>
      <c r="Q50" s="25"/>
    </row>
    <row r="51" spans="2:17" x14ac:dyDescent="0.25">
      <c r="B51" s="90" t="s">
        <v>30</v>
      </c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</row>
    <row r="52" spans="2:17" x14ac:dyDescent="0.25">
      <c r="B52" s="38"/>
      <c r="C52" s="86" t="s">
        <v>31</v>
      </c>
      <c r="D52" s="87"/>
      <c r="E52" s="87"/>
      <c r="F52" s="87"/>
      <c r="G52" s="87"/>
      <c r="H52" s="87"/>
      <c r="I52" s="87"/>
      <c r="J52" s="87"/>
      <c r="K52" s="88"/>
      <c r="L52" s="79">
        <f>L50</f>
        <v>28709.260000000002</v>
      </c>
      <c r="M52" s="79"/>
      <c r="N52" s="79">
        <v>0</v>
      </c>
      <c r="O52" s="79"/>
      <c r="P52" s="38">
        <f>'1'!P52+'2'!P52+'3'!P52+'4'!P52+'5'!P52+'6'!P52+'12'!P52+'13'!P52+'14'!P52+'16'!P52+'17'!P52+'18'!P52+'19'!P52+'20'!P52+'21'!P52+'22'!P53+'23'!P53+'24'!P52+'25'!P52+'26'!P52+'27'!P52</f>
        <v>0</v>
      </c>
    </row>
    <row r="53" spans="2:17" x14ac:dyDescent="0.25">
      <c r="P53" s="46"/>
    </row>
    <row r="54" spans="2:17" x14ac:dyDescent="0.25">
      <c r="P54" s="46">
        <f>P44+P50</f>
        <v>5845363.8791466318</v>
      </c>
    </row>
    <row r="55" spans="2:17" x14ac:dyDescent="0.25">
      <c r="C55" s="1" t="s">
        <v>38</v>
      </c>
    </row>
    <row r="56" spans="2:17" x14ac:dyDescent="0.25">
      <c r="C56" s="1" t="s">
        <v>39</v>
      </c>
      <c r="P56" s="1">
        <v>5845363.8799999999</v>
      </c>
    </row>
    <row r="57" spans="2:17" x14ac:dyDescent="0.25">
      <c r="C57" s="4" t="s">
        <v>94</v>
      </c>
      <c r="D57" s="22">
        <f>N44</f>
        <v>16.808246099999998</v>
      </c>
    </row>
    <row r="58" spans="2:17" x14ac:dyDescent="0.25">
      <c r="P58" s="25">
        <f>P54-P56</f>
        <v>-8.5336808115243912E-4</v>
      </c>
    </row>
    <row r="60" spans="2:17" x14ac:dyDescent="0.25">
      <c r="C60" s="1" t="s">
        <v>40</v>
      </c>
      <c r="D60" s="2"/>
      <c r="E60" s="2"/>
      <c r="F60" s="2"/>
      <c r="G60" s="2"/>
      <c r="J60" s="1" t="s">
        <v>41</v>
      </c>
    </row>
    <row r="63" spans="2:17" ht="24.75" customHeight="1" x14ac:dyDescent="0.25">
      <c r="C63" s="1" t="s">
        <v>42</v>
      </c>
      <c r="D63" s="2"/>
      <c r="E63" s="2"/>
      <c r="F63" s="1" t="s">
        <v>43</v>
      </c>
    </row>
    <row r="64" spans="2:17" ht="25.5" customHeight="1" x14ac:dyDescent="0.25">
      <c r="D64" s="2"/>
      <c r="E64" s="2"/>
      <c r="F64" s="1" t="s">
        <v>43</v>
      </c>
    </row>
    <row r="65" spans="4:6" ht="24.75" customHeight="1" x14ac:dyDescent="0.25">
      <c r="D65" s="2"/>
      <c r="E65" s="2"/>
      <c r="F65" s="1" t="s">
        <v>43</v>
      </c>
    </row>
  </sheetData>
  <mergeCells count="115">
    <mergeCell ref="B51:P51"/>
    <mergeCell ref="C52:K52"/>
    <mergeCell ref="L52:M52"/>
    <mergeCell ref="N52:O52"/>
    <mergeCell ref="C48:K48"/>
    <mergeCell ref="L48:M48"/>
    <mergeCell ref="N48:O48"/>
    <mergeCell ref="C49:K49"/>
    <mergeCell ref="L49:M49"/>
    <mergeCell ref="N49:O49"/>
    <mergeCell ref="C50:K50"/>
    <mergeCell ref="L50:M50"/>
    <mergeCell ref="N50:O50"/>
    <mergeCell ref="C44:K44"/>
    <mergeCell ref="L44:M44"/>
    <mergeCell ref="N44:O44"/>
    <mergeCell ref="B45:P45"/>
    <mergeCell ref="C46:K46"/>
    <mergeCell ref="L46:M46"/>
    <mergeCell ref="N46:O46"/>
    <mergeCell ref="C47:K47"/>
    <mergeCell ref="L47:M47"/>
    <mergeCell ref="N47:O47"/>
    <mergeCell ref="C41:K41"/>
    <mergeCell ref="L41:M41"/>
    <mergeCell ref="N41:O41"/>
    <mergeCell ref="C42:K42"/>
    <mergeCell ref="L42:M42"/>
    <mergeCell ref="N42:O42"/>
    <mergeCell ref="C43:K43"/>
    <mergeCell ref="L43:M43"/>
    <mergeCell ref="N43:O43"/>
    <mergeCell ref="C38:K38"/>
    <mergeCell ref="L38:M38"/>
    <mergeCell ref="N38:O38"/>
    <mergeCell ref="C39:K39"/>
    <mergeCell ref="L39:M39"/>
    <mergeCell ref="N39:O39"/>
    <mergeCell ref="C40:K40"/>
    <mergeCell ref="L40:M40"/>
    <mergeCell ref="N40:O40"/>
    <mergeCell ref="C35:K35"/>
    <mergeCell ref="L35:M35"/>
    <mergeCell ref="N35:O35"/>
    <mergeCell ref="C36:K36"/>
    <mergeCell ref="L36:M36"/>
    <mergeCell ref="N36:O36"/>
    <mergeCell ref="C37:K37"/>
    <mergeCell ref="L37:M37"/>
    <mergeCell ref="N37:O37"/>
    <mergeCell ref="C32:K32"/>
    <mergeCell ref="L32:M32"/>
    <mergeCell ref="N32:O32"/>
    <mergeCell ref="C33:K33"/>
    <mergeCell ref="L33:M33"/>
    <mergeCell ref="N33:O33"/>
    <mergeCell ref="C34:K34"/>
    <mergeCell ref="L34:M34"/>
    <mergeCell ref="N34:O34"/>
    <mergeCell ref="D22:E22"/>
    <mergeCell ref="C28:K28"/>
    <mergeCell ref="L28:M28"/>
    <mergeCell ref="N28:O28"/>
    <mergeCell ref="C29:K29"/>
    <mergeCell ref="L29:M29"/>
    <mergeCell ref="N29:O29"/>
    <mergeCell ref="B30:P30"/>
    <mergeCell ref="C31:K31"/>
    <mergeCell ref="L31:M31"/>
    <mergeCell ref="N31:O31"/>
    <mergeCell ref="P22:Q22"/>
    <mergeCell ref="D20:E20"/>
    <mergeCell ref="B2:V2"/>
    <mergeCell ref="B3:V3"/>
    <mergeCell ref="B4:V4"/>
    <mergeCell ref="D12:E12"/>
    <mergeCell ref="D13:E13"/>
    <mergeCell ref="D14:E14"/>
    <mergeCell ref="D15:E15"/>
    <mergeCell ref="D16:E16"/>
    <mergeCell ref="D17:E17"/>
    <mergeCell ref="D18:E18"/>
    <mergeCell ref="D19:E19"/>
    <mergeCell ref="P17:Q17"/>
    <mergeCell ref="R17:S17"/>
    <mergeCell ref="T17:U17"/>
    <mergeCell ref="P12:Q12"/>
    <mergeCell ref="P19:Q19"/>
    <mergeCell ref="P20:Q20"/>
    <mergeCell ref="R12:S12"/>
    <mergeCell ref="R13:S13"/>
    <mergeCell ref="R14:S14"/>
    <mergeCell ref="R15:S15"/>
    <mergeCell ref="R16:S16"/>
    <mergeCell ref="R18:S18"/>
    <mergeCell ref="T12:U12"/>
    <mergeCell ref="T13:U13"/>
    <mergeCell ref="T14:U14"/>
    <mergeCell ref="T15:U15"/>
    <mergeCell ref="T16:U16"/>
    <mergeCell ref="R19:S19"/>
    <mergeCell ref="R20:S20"/>
    <mergeCell ref="R22:S22"/>
    <mergeCell ref="P13:Q13"/>
    <mergeCell ref="P14:Q14"/>
    <mergeCell ref="P15:Q15"/>
    <mergeCell ref="P16:Q16"/>
    <mergeCell ref="P18:Q18"/>
    <mergeCell ref="T18:U18"/>
    <mergeCell ref="T19:U19"/>
    <mergeCell ref="T20:U20"/>
    <mergeCell ref="T22:U22"/>
    <mergeCell ref="P21:Q21"/>
    <mergeCell ref="R21:S21"/>
    <mergeCell ref="T21:U21"/>
  </mergeCells>
  <pageMargins left="0.25" right="0.25" top="0.75" bottom="0.75" header="0.3" footer="0.3"/>
  <pageSetup paperSize="9" scale="3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"/>
  <sheetViews>
    <sheetView workbookViewId="0">
      <selection activeCell="A3" sqref="A3"/>
    </sheetView>
  </sheetViews>
  <sheetFormatPr defaultRowHeight="15" x14ac:dyDescent="0.25"/>
  <sheetData>
    <row r="3" spans="1:2" x14ac:dyDescent="0.25">
      <c r="A3" s="19">
        <f>'1'!P44+'1'!P50+'2'!P44+'2'!P50+'3'!P44+'3'!P50+'4'!P44+'4'!P50+'5'!P44+'5'!P50+'6'!P44+'6'!P50+'12'!P44+'12'!P50+'13'!P44+'13'!P50+'14'!P44+'14'!P50+'16'!P44+'16'!P50+'17'!P44+'17'!P50+'18'!P44+'18'!P50+'19'!P44+'19'!P50+'20'!P44+'20'!P50+'21'!P44+'21'!P50+'22'!P44+'22'!P50+'23'!P44+'23'!P50+'24'!P44+'24'!P50+'25'!P44+'25'!P50+'26'!P44+'26'!P50+'27'!P44+'27'!P50</f>
        <v>5845363.8847656325</v>
      </c>
      <c r="B3" t="s">
        <v>75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V21"/>
  <sheetViews>
    <sheetView zoomScaleNormal="100" workbookViewId="0">
      <selection activeCell="D22" sqref="D22"/>
    </sheetView>
  </sheetViews>
  <sheetFormatPr defaultRowHeight="15" x14ac:dyDescent="0.25"/>
  <cols>
    <col min="3" max="3" width="30.140625" bestFit="1" customWidth="1"/>
    <col min="4" max="4" width="9.5703125" bestFit="1" customWidth="1"/>
    <col min="6" max="6" width="15.28515625" customWidth="1"/>
    <col min="7" max="7" width="21" customWidth="1"/>
    <col min="13" max="22" width="0" hidden="1" customWidth="1"/>
  </cols>
  <sheetData>
    <row r="1" spans="2:22" s="1" customFormat="1" ht="15.75" x14ac:dyDescent="0.25"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5"/>
    </row>
    <row r="2" spans="2:22" s="1" customFormat="1" ht="15.75" x14ac:dyDescent="0.25">
      <c r="B2" s="66" t="s">
        <v>82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8"/>
    </row>
    <row r="3" spans="2:22" s="1" customFormat="1" ht="16.5" thickBot="1" x14ac:dyDescent="0.3">
      <c r="B3" s="69" t="s">
        <v>81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</row>
    <row r="4" spans="2:22" s="1" customFormat="1" ht="15.75" x14ac:dyDescent="0.25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2:22" s="1" customFormat="1" ht="15.75" x14ac:dyDescent="0.25">
      <c r="C5" s="29" t="s">
        <v>76</v>
      </c>
    </row>
    <row r="6" spans="2:22" s="1" customFormat="1" ht="15.75" x14ac:dyDescent="0.25"/>
    <row r="7" spans="2:22" s="1" customFormat="1" ht="15.75" x14ac:dyDescent="0.25">
      <c r="C7" s="1" t="s">
        <v>33</v>
      </c>
      <c r="D7" s="45">
        <v>29618.38</v>
      </c>
    </row>
    <row r="8" spans="2:22" s="1" customFormat="1" ht="15.75" x14ac:dyDescent="0.25">
      <c r="C8" s="1" t="s">
        <v>35</v>
      </c>
      <c r="D8" s="3">
        <v>1599</v>
      </c>
    </row>
    <row r="9" spans="2:22" s="1" customFormat="1" ht="15.75" x14ac:dyDescent="0.25">
      <c r="C9" s="1" t="s">
        <v>36</v>
      </c>
      <c r="D9" s="3">
        <v>644</v>
      </c>
    </row>
    <row r="12" spans="2:22" ht="31.5" customHeight="1" x14ac:dyDescent="0.25">
      <c r="C12" s="44" t="s">
        <v>1</v>
      </c>
      <c r="D12" s="59" t="str">
        <f>'1'!D12:E12</f>
        <v>Содержание общего имущества дома</v>
      </c>
      <c r="E12" s="60"/>
      <c r="F12" s="44" t="s">
        <v>9</v>
      </c>
      <c r="G12" s="44" t="s">
        <v>8</v>
      </c>
    </row>
    <row r="13" spans="2:22" ht="15.75" x14ac:dyDescent="0.25">
      <c r="C13" s="9" t="s">
        <v>2</v>
      </c>
      <c r="D13" s="57"/>
      <c r="E13" s="58"/>
      <c r="F13" s="21"/>
      <c r="G13" s="21"/>
    </row>
    <row r="14" spans="2:22" ht="63" x14ac:dyDescent="0.25">
      <c r="C14" s="10" t="s">
        <v>79</v>
      </c>
      <c r="D14" s="57">
        <v>-1392689.03</v>
      </c>
      <c r="E14" s="58"/>
      <c r="F14" s="21">
        <v>-424398.24</v>
      </c>
      <c r="G14" s="21">
        <f>D14+F14</f>
        <v>-1817087.27</v>
      </c>
    </row>
    <row r="15" spans="2:22" ht="15.75" x14ac:dyDescent="0.25">
      <c r="C15" s="9" t="s">
        <v>3</v>
      </c>
      <c r="D15" s="57">
        <v>9444486.6699999999</v>
      </c>
      <c r="E15" s="58"/>
      <c r="F15" s="14">
        <v>2708949.93</v>
      </c>
      <c r="G15" s="14">
        <f>D15+F15</f>
        <v>12153436.6</v>
      </c>
    </row>
    <row r="16" spans="2:22" ht="15.75" x14ac:dyDescent="0.25">
      <c r="C16" s="9" t="s">
        <v>4</v>
      </c>
      <c r="D16" s="57">
        <v>9758819.75</v>
      </c>
      <c r="E16" s="58"/>
      <c r="F16" s="14">
        <v>2807083.05</v>
      </c>
      <c r="G16" s="14">
        <f>D16+F16</f>
        <v>12565902.800000001</v>
      </c>
    </row>
    <row r="17" spans="3:7" ht="31.5" x14ac:dyDescent="0.25">
      <c r="C17" s="10" t="s">
        <v>5</v>
      </c>
      <c r="D17" s="57">
        <f>12495791.32+824754.11</f>
        <v>13320545.43</v>
      </c>
      <c r="E17" s="58"/>
      <c r="F17" s="14">
        <f>104447.94+235219.09</f>
        <v>339667.03</v>
      </c>
      <c r="G17" s="14">
        <f>D17+F17</f>
        <v>13660212.459999999</v>
      </c>
    </row>
    <row r="18" spans="3:7" ht="63" x14ac:dyDescent="0.25">
      <c r="C18" s="10" t="s">
        <v>80</v>
      </c>
      <c r="D18" s="101">
        <f>D14-D15+D16</f>
        <v>-1078355.9499999993</v>
      </c>
      <c r="E18" s="102"/>
      <c r="F18" s="33">
        <f>F16-F15+F14</f>
        <v>-326265.12000000034</v>
      </c>
      <c r="G18" s="33">
        <f>G16-G15+G14</f>
        <v>-1404621.0699999989</v>
      </c>
    </row>
    <row r="19" spans="3:7" ht="15.75" x14ac:dyDescent="0.25">
      <c r="C19" s="9" t="s">
        <v>6</v>
      </c>
      <c r="D19" s="57"/>
      <c r="E19" s="58"/>
      <c r="F19" s="21"/>
      <c r="G19" s="21"/>
    </row>
    <row r="20" spans="3:7" ht="15.75" x14ac:dyDescent="0.25">
      <c r="C20" s="9" t="s">
        <v>83</v>
      </c>
      <c r="D20" s="57">
        <v>11.83</v>
      </c>
      <c r="E20" s="58"/>
      <c r="F20" s="21">
        <v>3.54</v>
      </c>
      <c r="G20" s="21">
        <f>D20+F20</f>
        <v>15.370000000000001</v>
      </c>
    </row>
    <row r="21" spans="3:7" ht="15.75" x14ac:dyDescent="0.25">
      <c r="C21" s="9" t="s">
        <v>44</v>
      </c>
      <c r="D21" s="99">
        <f>D17/D7/26</f>
        <v>17.297660114584772</v>
      </c>
      <c r="E21" s="100"/>
      <c r="F21" s="21"/>
      <c r="G21" s="18">
        <f>G17/D7/26</f>
        <v>17.738741515338681</v>
      </c>
    </row>
  </sheetData>
  <mergeCells count="13">
    <mergeCell ref="D21:E21"/>
    <mergeCell ref="D15:E15"/>
    <mergeCell ref="D16:E16"/>
    <mergeCell ref="D17:E17"/>
    <mergeCell ref="D18:E18"/>
    <mergeCell ref="D19:E19"/>
    <mergeCell ref="D20:E20"/>
    <mergeCell ref="D14:E14"/>
    <mergeCell ref="B1:V1"/>
    <mergeCell ref="B2:V2"/>
    <mergeCell ref="B3:V3"/>
    <mergeCell ref="D12:E12"/>
    <mergeCell ref="D13:E13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B1:V65"/>
  <sheetViews>
    <sheetView view="pageBreakPreview" topLeftCell="A4" zoomScale="80" zoomScaleNormal="84" zoomScaleSheetLayoutView="80" workbookViewId="0">
      <selection activeCell="L18" sqref="L18"/>
    </sheetView>
  </sheetViews>
  <sheetFormatPr defaultRowHeight="15.75" x14ac:dyDescent="0.25"/>
  <cols>
    <col min="1" max="1" width="4.85546875" style="1" customWidth="1"/>
    <col min="2" max="2" width="3.7109375" style="1" bestFit="1" customWidth="1"/>
    <col min="3" max="3" width="38.7109375" style="1" customWidth="1"/>
    <col min="4" max="4" width="13.28515625" style="1" customWidth="1"/>
    <col min="5" max="5" width="11.140625" style="1" customWidth="1"/>
    <col min="6" max="6" width="10.5703125" style="1" bestFit="1" customWidth="1"/>
    <col min="7" max="7" width="1.5703125" style="1" hidden="1" customWidth="1"/>
    <col min="8" max="8" width="12.5703125" style="1" hidden="1" customWidth="1"/>
    <col min="9" max="9" width="1.5703125" style="1" customWidth="1"/>
    <col min="10" max="10" width="11.85546875" style="1" customWidth="1"/>
    <col min="11" max="11" width="2.28515625" style="1" customWidth="1"/>
    <col min="12" max="12" width="12.7109375" style="1" customWidth="1"/>
    <col min="13" max="13" width="1.5703125" style="1" customWidth="1"/>
    <col min="14" max="14" width="16.42578125" style="1" customWidth="1"/>
    <col min="15" max="15" width="1.7109375" style="1" customWidth="1"/>
    <col min="16" max="16" width="12.85546875" style="1" customWidth="1"/>
    <col min="17" max="17" width="6.5703125" style="1" customWidth="1"/>
    <col min="18" max="18" width="12" style="1" customWidth="1"/>
    <col min="19" max="19" width="6.7109375" style="1" customWidth="1"/>
    <col min="20" max="20" width="15.85546875" style="1" customWidth="1"/>
    <col min="21" max="21" width="4.5703125" style="1" customWidth="1"/>
    <col min="22" max="22" width="11" style="1" customWidth="1"/>
    <col min="23" max="16384" width="9.140625" style="1"/>
  </cols>
  <sheetData>
    <row r="1" spans="2:22" ht="16.5" thickBot="1" x14ac:dyDescent="0.3"/>
    <row r="2" spans="2:22" x14ac:dyDescent="0.25">
      <c r="B2" s="63" t="s">
        <v>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5"/>
    </row>
    <row r="3" spans="2:22" x14ac:dyDescent="0.25">
      <c r="B3" s="66" t="str">
        <f>'1'!B3:V3</f>
        <v>с 1.01.2016 по 31.12.2016 г.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/>
    </row>
    <row r="4" spans="2:22" ht="16.5" thickBot="1" x14ac:dyDescent="0.3">
      <c r="B4" s="69" t="s">
        <v>32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1"/>
    </row>
    <row r="5" spans="2:22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2:22" x14ac:dyDescent="0.25">
      <c r="C6" s="29" t="s">
        <v>78</v>
      </c>
    </row>
    <row r="8" spans="2:22" x14ac:dyDescent="0.25">
      <c r="C8" s="1" t="s">
        <v>33</v>
      </c>
      <c r="D8" s="2">
        <v>3603</v>
      </c>
    </row>
    <row r="9" spans="2:22" x14ac:dyDescent="0.25">
      <c r="C9" s="1" t="s">
        <v>35</v>
      </c>
      <c r="D9" s="3">
        <v>203</v>
      </c>
    </row>
    <row r="10" spans="2:22" x14ac:dyDescent="0.25">
      <c r="C10" s="1" t="s">
        <v>36</v>
      </c>
      <c r="D10" s="3">
        <v>80</v>
      </c>
    </row>
    <row r="12" spans="2:22" ht="47.25" x14ac:dyDescent="0.25">
      <c r="C12" s="27" t="s">
        <v>1</v>
      </c>
      <c r="D12" s="59" t="str">
        <f>'1'!D12:E12</f>
        <v>Содержание общего имущества дома</v>
      </c>
      <c r="E12" s="60"/>
      <c r="F12" s="27" t="s">
        <v>8</v>
      </c>
      <c r="G12" s="7"/>
      <c r="H12" s="27" t="s">
        <v>9</v>
      </c>
      <c r="I12" s="7"/>
      <c r="J12" s="28" t="str">
        <f>'1'!J12</f>
        <v>Вывоз ТБО (руб./чел.)</v>
      </c>
      <c r="K12" s="7"/>
      <c r="L12" s="28" t="s">
        <v>67</v>
      </c>
      <c r="M12" s="7"/>
      <c r="N12" s="28" t="str">
        <f>'1'!N12</f>
        <v>Обслуживание антены (руб./лиц.сч.)</v>
      </c>
      <c r="O12" s="8"/>
      <c r="P12" s="59" t="str">
        <f>'1'!P12</f>
        <v xml:space="preserve">Хол. вода </v>
      </c>
      <c r="Q12" s="60"/>
      <c r="R12" s="59" t="str">
        <f>'1'!R12</f>
        <v xml:space="preserve">Гор. вода </v>
      </c>
      <c r="S12" s="60"/>
      <c r="T12" s="59" t="str">
        <f>'1'!T12</f>
        <v>Канализация</v>
      </c>
      <c r="U12" s="60"/>
      <c r="V12" s="27" t="s">
        <v>10</v>
      </c>
    </row>
    <row r="13" spans="2:22" x14ac:dyDescent="0.25">
      <c r="C13" s="9" t="s">
        <v>2</v>
      </c>
      <c r="D13" s="57"/>
      <c r="E13" s="58"/>
      <c r="F13" s="11"/>
      <c r="G13" s="7"/>
      <c r="H13" s="11"/>
      <c r="I13" s="7"/>
      <c r="J13" s="11"/>
      <c r="K13" s="7"/>
      <c r="L13" s="11"/>
      <c r="M13" s="7"/>
      <c r="N13" s="11"/>
      <c r="O13" s="7"/>
      <c r="P13" s="57"/>
      <c r="Q13" s="58"/>
      <c r="R13" s="57"/>
      <c r="S13" s="58"/>
      <c r="T13" s="57"/>
      <c r="U13" s="58"/>
      <c r="V13" s="30">
        <f>V14</f>
        <v>-840059.13</v>
      </c>
    </row>
    <row r="14" spans="2:22" ht="47.25" x14ac:dyDescent="0.25">
      <c r="C14" s="10" t="str">
        <f>'1'!C14</f>
        <v>Остаток с предыдущего периода (задолженность(-), переплата (+)) на 01.01.2016г.</v>
      </c>
      <c r="D14" s="57"/>
      <c r="E14" s="58"/>
      <c r="F14" s="11">
        <v>-193567.21</v>
      </c>
      <c r="G14" s="7"/>
      <c r="H14" s="11">
        <v>0</v>
      </c>
      <c r="I14" s="7"/>
      <c r="J14" s="11">
        <v>-38773.25</v>
      </c>
      <c r="K14" s="7"/>
      <c r="L14" s="11">
        <v>-296349.82</v>
      </c>
      <c r="M14" s="7"/>
      <c r="N14" s="11">
        <v>-10111.1</v>
      </c>
      <c r="O14" s="7"/>
      <c r="P14" s="57">
        <v>-36402.639999999999</v>
      </c>
      <c r="Q14" s="58"/>
      <c r="R14" s="57">
        <v>-177035.53</v>
      </c>
      <c r="S14" s="58"/>
      <c r="T14" s="57">
        <v>-87819.58</v>
      </c>
      <c r="U14" s="58"/>
      <c r="V14" s="14">
        <f>F14+H14+J14+L14+N14+P14+Q14+R14+S14+T14+U14</f>
        <v>-840059.13</v>
      </c>
    </row>
    <row r="15" spans="2:22" x14ac:dyDescent="0.25">
      <c r="C15" s="9" t="s">
        <v>3</v>
      </c>
      <c r="D15" s="57"/>
      <c r="E15" s="58"/>
      <c r="F15" s="11">
        <v>661740.30000000005</v>
      </c>
      <c r="G15" s="7"/>
      <c r="H15" s="14"/>
      <c r="I15" s="7"/>
      <c r="J15" s="14">
        <v>93960.62</v>
      </c>
      <c r="K15" s="7"/>
      <c r="L15" s="11">
        <f>1137138.81+115276.35</f>
        <v>1252415.1600000001</v>
      </c>
      <c r="M15" s="7"/>
      <c r="N15" s="11">
        <v>36600</v>
      </c>
      <c r="O15" s="7"/>
      <c r="P15" s="61">
        <f>81481.48+3415.7</f>
        <v>84897.18</v>
      </c>
      <c r="Q15" s="62"/>
      <c r="R15" s="57">
        <f>387501.85+13630.22</f>
        <v>401132.06999999995</v>
      </c>
      <c r="S15" s="58"/>
      <c r="T15" s="61">
        <f>98124.37+72954.92</f>
        <v>171079.28999999998</v>
      </c>
      <c r="U15" s="62"/>
      <c r="V15" s="11">
        <f>F15+H15+J15+L15+N15+P15+Q15+R15+S15+T15+U15</f>
        <v>2701824.62</v>
      </c>
    </row>
    <row r="16" spans="2:22" x14ac:dyDescent="0.25">
      <c r="C16" s="9" t="s">
        <v>4</v>
      </c>
      <c r="D16" s="57"/>
      <c r="E16" s="58"/>
      <c r="F16" s="11">
        <f>10580.1+677021.69</f>
        <v>687601.78999999992</v>
      </c>
      <c r="G16" s="7"/>
      <c r="H16" s="14"/>
      <c r="I16" s="7"/>
      <c r="J16" s="14">
        <v>103749.23</v>
      </c>
      <c r="K16" s="7"/>
      <c r="L16" s="11">
        <f>1168250.42+76809.9</f>
        <v>1245060.3199999998</v>
      </c>
      <c r="M16" s="7"/>
      <c r="N16" s="14">
        <v>37876.720000000001</v>
      </c>
      <c r="O16" s="7"/>
      <c r="P16" s="61">
        <f>85274.1+1676.52</f>
        <v>86950.62000000001</v>
      </c>
      <c r="Q16" s="62"/>
      <c r="R16" s="61">
        <f>407147.51+5972.17</f>
        <v>413119.68</v>
      </c>
      <c r="S16" s="62"/>
      <c r="T16" s="61">
        <f>116797.46+65648.27</f>
        <v>182445.73</v>
      </c>
      <c r="U16" s="62"/>
      <c r="V16" s="12">
        <f>F16+H16+J16+L16+N16+P16+Q16+R16+S16+T16+U16</f>
        <v>2756804.09</v>
      </c>
    </row>
    <row r="17" spans="2:22" ht="31.5" x14ac:dyDescent="0.25">
      <c r="C17" s="10" t="s">
        <v>5</v>
      </c>
      <c r="D17" s="57"/>
      <c r="E17" s="58"/>
      <c r="F17" s="14">
        <f>P44+P50</f>
        <v>726721.32837959984</v>
      </c>
      <c r="G17" s="7"/>
      <c r="H17" s="11">
        <f>P52</f>
        <v>0</v>
      </c>
      <c r="I17" s="7"/>
      <c r="J17" s="14">
        <f>J15+18637.28</f>
        <v>112597.9</v>
      </c>
      <c r="K17" s="7"/>
      <c r="L17" s="11">
        <f>(D8*L20*6)+(D8*L21*6)</f>
        <v>1137539.1600000001</v>
      </c>
      <c r="M17" s="7"/>
      <c r="N17" s="14">
        <f>'1'!N17</f>
        <v>11336.326999999999</v>
      </c>
      <c r="O17" s="7"/>
      <c r="P17" s="61">
        <f>P15+Q15+114670.71</f>
        <v>199567.89</v>
      </c>
      <c r="Q17" s="62"/>
      <c r="R17" s="61">
        <f>R15+S15</f>
        <v>401132.06999999995</v>
      </c>
      <c r="S17" s="62"/>
      <c r="T17" s="61">
        <f>T15+U15</f>
        <v>171079.28999999998</v>
      </c>
      <c r="U17" s="62"/>
      <c r="V17" s="21">
        <f>F17+H17+J17+L17+N17+P17+Q17+R17+S17+T17+U17</f>
        <v>2759973.9653795999</v>
      </c>
    </row>
    <row r="18" spans="2:22" ht="31.5" x14ac:dyDescent="0.25">
      <c r="C18" s="10" t="str">
        <f>'1'!C18</f>
        <v>Текущий остаток (задолженность (-), переплата (+)) на 31.12.2016 г.</v>
      </c>
      <c r="D18" s="57"/>
      <c r="E18" s="58"/>
      <c r="F18" s="33">
        <f>F16-F15+F14</f>
        <v>-167705.72000000012</v>
      </c>
      <c r="G18" s="32"/>
      <c r="H18" s="31">
        <f>H16-H15+H14</f>
        <v>0</v>
      </c>
      <c r="I18" s="32"/>
      <c r="J18" s="33">
        <f>J16-J15+J14</f>
        <v>-28984.639999999999</v>
      </c>
      <c r="K18" s="32"/>
      <c r="L18" s="31">
        <f>L16-L15+L14</f>
        <v>-303704.66000000032</v>
      </c>
      <c r="M18" s="32"/>
      <c r="N18" s="31">
        <f>N16-N15+N14</f>
        <v>-8834.3799999999992</v>
      </c>
      <c r="O18" s="32"/>
      <c r="P18" s="55">
        <f t="shared" ref="P18:V18" si="0">P16-P15+P14</f>
        <v>-34349.199999999983</v>
      </c>
      <c r="Q18" s="56"/>
      <c r="R18" s="55">
        <f t="shared" si="0"/>
        <v>-165047.91999999995</v>
      </c>
      <c r="S18" s="56"/>
      <c r="T18" s="55">
        <f t="shared" si="0"/>
        <v>-76453.13999999997</v>
      </c>
      <c r="U18" s="56"/>
      <c r="V18" s="31">
        <f t="shared" si="0"/>
        <v>-785079.66000000027</v>
      </c>
    </row>
    <row r="19" spans="2:22" x14ac:dyDescent="0.25">
      <c r="C19" s="9" t="s">
        <v>6</v>
      </c>
      <c r="D19" s="57"/>
      <c r="E19" s="58"/>
      <c r="F19" s="11"/>
      <c r="G19" s="7"/>
      <c r="H19" s="11"/>
      <c r="I19" s="7"/>
      <c r="J19" s="11"/>
      <c r="K19" s="7"/>
      <c r="L19" s="11"/>
      <c r="M19" s="7"/>
      <c r="N19" s="11"/>
      <c r="O19" s="7"/>
      <c r="P19" s="57"/>
      <c r="Q19" s="58"/>
      <c r="R19" s="57"/>
      <c r="S19" s="58"/>
      <c r="T19" s="57"/>
      <c r="U19" s="58"/>
      <c r="V19" s="30">
        <f>F18+H18+J18+L18+N18+P18+Q18+R18+S18+T18+U18</f>
        <v>-785079.66000000038</v>
      </c>
    </row>
    <row r="20" spans="2:22" x14ac:dyDescent="0.25">
      <c r="C20" s="9" t="str">
        <f>'1'!C20</f>
        <v>Тариф (руб/м²), 1-е полугодие</v>
      </c>
      <c r="D20" s="57"/>
      <c r="E20" s="58"/>
      <c r="F20" s="13">
        <f>'1'!F20</f>
        <v>15.31</v>
      </c>
      <c r="G20" s="7"/>
      <c r="H20" s="13">
        <f>'1'!H20</f>
        <v>37.700000000000003</v>
      </c>
      <c r="I20" s="7"/>
      <c r="J20" s="13">
        <f>'1'!J20</f>
        <v>44.32</v>
      </c>
      <c r="K20" s="7"/>
      <c r="L20" s="11">
        <v>25.94</v>
      </c>
      <c r="M20" s="7"/>
      <c r="N20" s="11">
        <f>'1'!N20</f>
        <v>50</v>
      </c>
      <c r="O20" s="7"/>
      <c r="P20" s="57" t="str">
        <f>'1'!P20</f>
        <v xml:space="preserve">15,02 руб./м3 </v>
      </c>
      <c r="Q20" s="58"/>
      <c r="R20" s="57" t="str">
        <f>'1'!R20</f>
        <v>99,55 руб./м3</v>
      </c>
      <c r="S20" s="58"/>
      <c r="T20" s="57" t="str">
        <f>'1'!T20</f>
        <v>18,66 руб./м3</v>
      </c>
      <c r="U20" s="58"/>
      <c r="V20" s="11"/>
    </row>
    <row r="21" spans="2:22" x14ac:dyDescent="0.25">
      <c r="C21" s="9" t="str">
        <f>'1'!C21</f>
        <v>Тариф (руб/м²), 2-е полугодие</v>
      </c>
      <c r="D21" s="50"/>
      <c r="E21" s="51"/>
      <c r="F21" s="21">
        <f>'1'!F21</f>
        <v>15.31</v>
      </c>
      <c r="G21" s="7"/>
      <c r="H21" s="21"/>
      <c r="I21" s="7"/>
      <c r="J21" s="21">
        <f>'1'!J21</f>
        <v>44.32</v>
      </c>
      <c r="K21" s="7"/>
      <c r="L21" s="21">
        <f>'1'!L21</f>
        <v>26.68</v>
      </c>
      <c r="M21" s="7"/>
      <c r="N21" s="21">
        <f>'1'!N21</f>
        <v>50</v>
      </c>
      <c r="O21" s="7"/>
      <c r="P21" s="57" t="str">
        <f>'1'!P21:Q21</f>
        <v>15,63 руб./м³</v>
      </c>
      <c r="Q21" s="58"/>
      <c r="R21" s="57" t="str">
        <f>'1'!R21:S21</f>
        <v>102,59 руб./м³</v>
      </c>
      <c r="S21" s="58"/>
      <c r="T21" s="57" t="str">
        <f>'1'!T21:U21</f>
        <v>19,41 руб./м³</v>
      </c>
      <c r="U21" s="58"/>
      <c r="V21" s="21"/>
    </row>
    <row r="22" spans="2:22" x14ac:dyDescent="0.25">
      <c r="C22" s="9" t="s">
        <v>44</v>
      </c>
      <c r="D22" s="57"/>
      <c r="E22" s="58"/>
      <c r="F22" s="18">
        <f>N44+N50</f>
        <v>16.808246099999998</v>
      </c>
      <c r="G22" s="7"/>
      <c r="H22" s="11"/>
      <c r="I22" s="7"/>
      <c r="J22" s="11"/>
      <c r="K22" s="7"/>
      <c r="L22" s="11"/>
      <c r="M22" s="7"/>
      <c r="N22" s="11"/>
      <c r="O22" s="7"/>
      <c r="P22" s="57"/>
      <c r="Q22" s="58"/>
      <c r="R22" s="57"/>
      <c r="S22" s="58"/>
      <c r="T22" s="57"/>
      <c r="U22" s="58"/>
      <c r="V22" s="11"/>
    </row>
    <row r="24" spans="2:22" x14ac:dyDescent="0.25">
      <c r="C24" s="5" t="s">
        <v>11</v>
      </c>
    </row>
    <row r="25" spans="2:22" x14ac:dyDescent="0.25">
      <c r="C25" s="1" t="s">
        <v>12</v>
      </c>
      <c r="J25" s="34">
        <f>V19/V15*100</f>
        <v>-29.057387892186735</v>
      </c>
      <c r="K25" s="35" t="s">
        <v>37</v>
      </c>
    </row>
    <row r="28" spans="2:22" ht="33" customHeight="1" x14ac:dyDescent="0.25">
      <c r="B28" s="27" t="s">
        <v>13</v>
      </c>
      <c r="C28" s="72" t="s">
        <v>14</v>
      </c>
      <c r="D28" s="72"/>
      <c r="E28" s="72"/>
      <c r="F28" s="72"/>
      <c r="G28" s="72"/>
      <c r="H28" s="72"/>
      <c r="I28" s="72"/>
      <c r="J28" s="72"/>
      <c r="K28" s="72"/>
      <c r="L28" s="73" t="s">
        <v>45</v>
      </c>
      <c r="M28" s="73"/>
      <c r="N28" s="73" t="s">
        <v>46</v>
      </c>
      <c r="O28" s="73"/>
      <c r="P28" s="27" t="s">
        <v>28</v>
      </c>
    </row>
    <row r="29" spans="2:22" x14ac:dyDescent="0.25">
      <c r="B29" s="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4"/>
    </row>
    <row r="30" spans="2:22" x14ac:dyDescent="0.25">
      <c r="B30" s="90" t="s">
        <v>7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</row>
    <row r="31" spans="2:22" x14ac:dyDescent="0.25">
      <c r="B31" s="4">
        <v>1</v>
      </c>
      <c r="C31" s="76" t="s">
        <v>15</v>
      </c>
      <c r="D31" s="76"/>
      <c r="E31" s="76"/>
      <c r="F31" s="76"/>
      <c r="G31" s="76"/>
      <c r="H31" s="76"/>
      <c r="I31" s="76"/>
      <c r="J31" s="76"/>
      <c r="K31" s="76"/>
      <c r="L31" s="74">
        <v>3603</v>
      </c>
      <c r="M31" s="74"/>
      <c r="N31" s="77">
        <f>'1'!N31:O31</f>
        <v>3.5</v>
      </c>
      <c r="O31" s="77"/>
      <c r="P31" s="4">
        <f>N31*L31*12</f>
        <v>151326</v>
      </c>
    </row>
    <row r="32" spans="2:22" x14ac:dyDescent="0.25">
      <c r="B32" s="4">
        <v>2</v>
      </c>
      <c r="C32" s="76" t="s">
        <v>34</v>
      </c>
      <c r="D32" s="76"/>
      <c r="E32" s="76"/>
      <c r="F32" s="76"/>
      <c r="G32" s="76"/>
      <c r="H32" s="76"/>
      <c r="I32" s="76"/>
      <c r="J32" s="76"/>
      <c r="K32" s="76"/>
      <c r="L32" s="74">
        <v>3603</v>
      </c>
      <c r="M32" s="74"/>
      <c r="N32" s="77">
        <f>'1'!N32:O32</f>
        <v>0.98752150000000005</v>
      </c>
      <c r="O32" s="77"/>
      <c r="P32" s="4">
        <f t="shared" ref="P32:P43" si="1">N32*L32*12</f>
        <v>42696.479574000005</v>
      </c>
    </row>
    <row r="33" spans="2:16" x14ac:dyDescent="0.25">
      <c r="B33" s="4">
        <v>3</v>
      </c>
      <c r="C33" s="76" t="s">
        <v>16</v>
      </c>
      <c r="D33" s="76"/>
      <c r="E33" s="76"/>
      <c r="F33" s="76"/>
      <c r="G33" s="76"/>
      <c r="H33" s="76"/>
      <c r="I33" s="76"/>
      <c r="J33" s="76"/>
      <c r="K33" s="76"/>
      <c r="L33" s="74">
        <v>3603</v>
      </c>
      <c r="M33" s="74"/>
      <c r="N33" s="77">
        <f>'1'!N33:O33</f>
        <v>2.8257476000000001</v>
      </c>
      <c r="O33" s="77"/>
      <c r="P33" s="4">
        <f t="shared" si="1"/>
        <v>122174.0232336</v>
      </c>
    </row>
    <row r="34" spans="2:16" x14ac:dyDescent="0.25">
      <c r="B34" s="4">
        <v>4</v>
      </c>
      <c r="C34" s="76" t="s">
        <v>17</v>
      </c>
      <c r="D34" s="76"/>
      <c r="E34" s="76"/>
      <c r="F34" s="76"/>
      <c r="G34" s="76"/>
      <c r="H34" s="76"/>
      <c r="I34" s="76"/>
      <c r="J34" s="76"/>
      <c r="K34" s="76"/>
      <c r="L34" s="74">
        <v>3603</v>
      </c>
      <c r="M34" s="74"/>
      <c r="N34" s="77">
        <f>'1'!N34:O34</f>
        <v>1</v>
      </c>
      <c r="O34" s="77"/>
      <c r="P34" s="4">
        <f t="shared" si="1"/>
        <v>43236</v>
      </c>
    </row>
    <row r="35" spans="2:16" x14ac:dyDescent="0.25">
      <c r="B35" s="4">
        <v>5</v>
      </c>
      <c r="C35" s="76" t="s">
        <v>18</v>
      </c>
      <c r="D35" s="76"/>
      <c r="E35" s="76"/>
      <c r="F35" s="76"/>
      <c r="G35" s="76"/>
      <c r="H35" s="76"/>
      <c r="I35" s="76"/>
      <c r="J35" s="76"/>
      <c r="K35" s="76"/>
      <c r="L35" s="74">
        <v>3603</v>
      </c>
      <c r="M35" s="74"/>
      <c r="N35" s="77">
        <f>'1'!N35:O35</f>
        <v>2</v>
      </c>
      <c r="O35" s="77"/>
      <c r="P35" s="4">
        <f t="shared" si="1"/>
        <v>86472</v>
      </c>
    </row>
    <row r="36" spans="2:16" x14ac:dyDescent="0.25">
      <c r="B36" s="4">
        <v>6</v>
      </c>
      <c r="C36" s="76" t="s">
        <v>24</v>
      </c>
      <c r="D36" s="76"/>
      <c r="E36" s="76"/>
      <c r="F36" s="76"/>
      <c r="G36" s="76"/>
      <c r="H36" s="76"/>
      <c r="I36" s="76"/>
      <c r="J36" s="76"/>
      <c r="K36" s="76"/>
      <c r="L36" s="74">
        <v>3603</v>
      </c>
      <c r="M36" s="74"/>
      <c r="N36" s="77">
        <f>'1'!N36:O36</f>
        <v>3</v>
      </c>
      <c r="O36" s="77"/>
      <c r="P36" s="4">
        <f t="shared" si="1"/>
        <v>129708</v>
      </c>
    </row>
    <row r="37" spans="2:16" x14ac:dyDescent="0.25">
      <c r="B37" s="4">
        <v>7</v>
      </c>
      <c r="C37" s="76" t="s">
        <v>19</v>
      </c>
      <c r="D37" s="76"/>
      <c r="E37" s="76"/>
      <c r="F37" s="76"/>
      <c r="G37" s="76"/>
      <c r="H37" s="76"/>
      <c r="I37" s="76"/>
      <c r="J37" s="76"/>
      <c r="K37" s="76"/>
      <c r="L37" s="74">
        <v>3603</v>
      </c>
      <c r="M37" s="74"/>
      <c r="N37" s="77">
        <f>'1'!N37:O37</f>
        <v>0.5</v>
      </c>
      <c r="O37" s="77"/>
      <c r="P37" s="4">
        <f t="shared" si="1"/>
        <v>21618</v>
      </c>
    </row>
    <row r="38" spans="2:16" x14ac:dyDescent="0.25">
      <c r="B38" s="4">
        <v>8</v>
      </c>
      <c r="C38" s="76" t="s">
        <v>20</v>
      </c>
      <c r="D38" s="76"/>
      <c r="E38" s="76"/>
      <c r="F38" s="76"/>
      <c r="G38" s="76"/>
      <c r="H38" s="76"/>
      <c r="I38" s="76"/>
      <c r="J38" s="76"/>
      <c r="K38" s="76"/>
      <c r="L38" s="74">
        <v>3603</v>
      </c>
      <c r="M38" s="74"/>
      <c r="N38" s="77">
        <f>'1'!N38:O38</f>
        <v>1.694977</v>
      </c>
      <c r="O38" s="77"/>
      <c r="P38" s="4">
        <f t="shared" si="1"/>
        <v>73284.025571999999</v>
      </c>
    </row>
    <row r="39" spans="2:16" x14ac:dyDescent="0.25">
      <c r="B39" s="4">
        <v>9</v>
      </c>
      <c r="C39" s="76" t="s">
        <v>84</v>
      </c>
      <c r="D39" s="76"/>
      <c r="E39" s="76"/>
      <c r="F39" s="76"/>
      <c r="G39" s="76"/>
      <c r="H39" s="76"/>
      <c r="I39" s="76"/>
      <c r="J39" s="76"/>
      <c r="K39" s="76"/>
      <c r="L39" s="74">
        <v>3603</v>
      </c>
      <c r="M39" s="74"/>
      <c r="N39" s="77">
        <f>'1'!N39:O39</f>
        <v>0.1</v>
      </c>
      <c r="O39" s="77"/>
      <c r="P39" s="4">
        <f t="shared" si="1"/>
        <v>4323.6000000000004</v>
      </c>
    </row>
    <row r="40" spans="2:16" x14ac:dyDescent="0.25">
      <c r="B40" s="4">
        <v>10</v>
      </c>
      <c r="C40" s="76" t="s">
        <v>21</v>
      </c>
      <c r="D40" s="76"/>
      <c r="E40" s="76"/>
      <c r="F40" s="76"/>
      <c r="G40" s="76"/>
      <c r="H40" s="76"/>
      <c r="I40" s="76"/>
      <c r="J40" s="76"/>
      <c r="K40" s="76"/>
      <c r="L40" s="74">
        <v>3603</v>
      </c>
      <c r="M40" s="74"/>
      <c r="N40" s="77">
        <f>'1'!N40:O40</f>
        <v>0.2</v>
      </c>
      <c r="O40" s="77"/>
      <c r="P40" s="4">
        <f t="shared" si="1"/>
        <v>8647.2000000000007</v>
      </c>
    </row>
    <row r="41" spans="2:16" x14ac:dyDescent="0.25">
      <c r="B41" s="4">
        <v>11</v>
      </c>
      <c r="C41" s="76" t="s">
        <v>22</v>
      </c>
      <c r="D41" s="76"/>
      <c r="E41" s="76"/>
      <c r="F41" s="76"/>
      <c r="G41" s="76"/>
      <c r="H41" s="76"/>
      <c r="I41" s="76"/>
      <c r="J41" s="76"/>
      <c r="K41" s="76"/>
      <c r="L41" s="74">
        <v>3603</v>
      </c>
      <c r="M41" s="74"/>
      <c r="N41" s="77">
        <f>'1'!N41:O41</f>
        <v>0.5</v>
      </c>
      <c r="O41" s="77"/>
      <c r="P41" s="4">
        <f t="shared" si="1"/>
        <v>21618</v>
      </c>
    </row>
    <row r="42" spans="2:16" hidden="1" x14ac:dyDescent="0.25">
      <c r="B42" s="4">
        <v>12</v>
      </c>
      <c r="C42" s="76" t="s">
        <v>23</v>
      </c>
      <c r="D42" s="76"/>
      <c r="E42" s="76"/>
      <c r="F42" s="76"/>
      <c r="G42" s="76"/>
      <c r="H42" s="76"/>
      <c r="I42" s="76"/>
      <c r="J42" s="76"/>
      <c r="K42" s="76"/>
      <c r="L42" s="74">
        <v>3603</v>
      </c>
      <c r="M42" s="74"/>
      <c r="N42" s="77">
        <f>'1'!N42:O42</f>
        <v>0</v>
      </c>
      <c r="O42" s="77"/>
      <c r="P42" s="4">
        <f t="shared" si="1"/>
        <v>0</v>
      </c>
    </row>
    <row r="43" spans="2:16" x14ac:dyDescent="0.25">
      <c r="B43" s="4">
        <v>12</v>
      </c>
      <c r="C43" s="76" t="s">
        <v>25</v>
      </c>
      <c r="D43" s="76"/>
      <c r="E43" s="76"/>
      <c r="F43" s="76"/>
      <c r="G43" s="76"/>
      <c r="H43" s="76"/>
      <c r="I43" s="76"/>
      <c r="J43" s="76"/>
      <c r="K43" s="76"/>
      <c r="L43" s="74">
        <v>3603</v>
      </c>
      <c r="M43" s="74"/>
      <c r="N43" s="77">
        <f>'1'!N43:O43</f>
        <v>0.5</v>
      </c>
      <c r="O43" s="77"/>
      <c r="P43" s="4">
        <f t="shared" si="1"/>
        <v>21618</v>
      </c>
    </row>
    <row r="44" spans="2:16" x14ac:dyDescent="0.25">
      <c r="B44" s="38"/>
      <c r="C44" s="78" t="s">
        <v>26</v>
      </c>
      <c r="D44" s="78"/>
      <c r="E44" s="78"/>
      <c r="F44" s="78"/>
      <c r="G44" s="78"/>
      <c r="H44" s="78"/>
      <c r="I44" s="78"/>
      <c r="J44" s="78"/>
      <c r="K44" s="78"/>
      <c r="L44" s="79">
        <v>3603</v>
      </c>
      <c r="M44" s="79"/>
      <c r="N44" s="91">
        <f>SUM(N31:O43)</f>
        <v>16.808246099999998</v>
      </c>
      <c r="O44" s="91"/>
      <c r="P44" s="39">
        <f>SUM(P31:P43)</f>
        <v>726721.32837959984</v>
      </c>
    </row>
    <row r="45" spans="2:16" hidden="1" x14ac:dyDescent="0.25">
      <c r="B45" s="90" t="s">
        <v>27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</row>
    <row r="46" spans="2:16" hidden="1" x14ac:dyDescent="0.25">
      <c r="B46" s="4">
        <v>1</v>
      </c>
      <c r="C46" s="82" t="s">
        <v>73</v>
      </c>
      <c r="D46" s="83"/>
      <c r="E46" s="83"/>
      <c r="F46" s="83"/>
      <c r="G46" s="83"/>
      <c r="H46" s="83"/>
      <c r="I46" s="83"/>
      <c r="J46" s="83"/>
      <c r="K46" s="84"/>
      <c r="L46" s="74">
        <v>3603</v>
      </c>
      <c r="M46" s="74"/>
      <c r="N46" s="74"/>
      <c r="O46" s="74"/>
      <c r="P46" s="17">
        <f>L46*N46*6</f>
        <v>0</v>
      </c>
    </row>
    <row r="47" spans="2:16" hidden="1" x14ac:dyDescent="0.25">
      <c r="B47" s="4">
        <v>2</v>
      </c>
      <c r="C47" s="82" t="s">
        <v>74</v>
      </c>
      <c r="D47" s="83"/>
      <c r="E47" s="83"/>
      <c r="F47" s="83"/>
      <c r="G47" s="83"/>
      <c r="H47" s="83"/>
      <c r="I47" s="83"/>
      <c r="J47" s="83"/>
      <c r="K47" s="84"/>
      <c r="L47" s="74">
        <v>3603</v>
      </c>
      <c r="M47" s="74"/>
      <c r="N47" s="74"/>
      <c r="O47" s="74"/>
      <c r="P47" s="17">
        <f>L47*N47*6</f>
        <v>0</v>
      </c>
    </row>
    <row r="48" spans="2:16" hidden="1" x14ac:dyDescent="0.25">
      <c r="B48" s="4">
        <v>3</v>
      </c>
      <c r="C48" s="82" t="s">
        <v>86</v>
      </c>
      <c r="D48" s="83"/>
      <c r="E48" s="83"/>
      <c r="F48" s="83"/>
      <c r="G48" s="83"/>
      <c r="H48" s="83"/>
      <c r="I48" s="83"/>
      <c r="J48" s="83"/>
      <c r="K48" s="84"/>
      <c r="L48" s="74">
        <v>3603</v>
      </c>
      <c r="M48" s="74"/>
      <c r="N48" s="85"/>
      <c r="O48" s="85"/>
      <c r="P48" s="17"/>
    </row>
    <row r="49" spans="2:16" ht="15.75" hidden="1" customHeight="1" x14ac:dyDescent="0.25">
      <c r="B49" s="4">
        <v>4</v>
      </c>
      <c r="C49" s="74"/>
      <c r="D49" s="92"/>
      <c r="E49" s="92"/>
      <c r="F49" s="92"/>
      <c r="G49" s="92"/>
      <c r="H49" s="92"/>
      <c r="I49" s="92"/>
      <c r="J49" s="92"/>
      <c r="K49" s="93"/>
      <c r="L49" s="74">
        <v>3603</v>
      </c>
      <c r="M49" s="74"/>
      <c r="N49" s="74"/>
      <c r="O49" s="74"/>
      <c r="P49" s="17"/>
    </row>
    <row r="50" spans="2:16" hidden="1" x14ac:dyDescent="0.25">
      <c r="B50" s="38"/>
      <c r="C50" s="86" t="s">
        <v>29</v>
      </c>
      <c r="D50" s="87"/>
      <c r="E50" s="87"/>
      <c r="F50" s="87"/>
      <c r="G50" s="87"/>
      <c r="H50" s="87"/>
      <c r="I50" s="87"/>
      <c r="J50" s="87"/>
      <c r="K50" s="88"/>
      <c r="L50" s="79">
        <v>3603</v>
      </c>
      <c r="M50" s="79"/>
      <c r="N50" s="79">
        <f>SUM(N46:O49)</f>
        <v>0</v>
      </c>
      <c r="O50" s="79"/>
      <c r="P50" s="39">
        <f>SUM(P46:P49)</f>
        <v>0</v>
      </c>
    </row>
    <row r="51" spans="2:16" hidden="1" x14ac:dyDescent="0.25">
      <c r="B51" s="90" t="s">
        <v>30</v>
      </c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</row>
    <row r="52" spans="2:16" hidden="1" x14ac:dyDescent="0.25">
      <c r="B52" s="38"/>
      <c r="C52" s="86" t="s">
        <v>31</v>
      </c>
      <c r="D52" s="87"/>
      <c r="E52" s="87"/>
      <c r="F52" s="87"/>
      <c r="G52" s="87"/>
      <c r="H52" s="87"/>
      <c r="I52" s="87"/>
      <c r="J52" s="87"/>
      <c r="K52" s="88"/>
      <c r="L52" s="79">
        <v>3603</v>
      </c>
      <c r="M52" s="79"/>
      <c r="N52" s="79">
        <v>0</v>
      </c>
      <c r="O52" s="79"/>
      <c r="P52" s="38">
        <v>0</v>
      </c>
    </row>
    <row r="55" spans="2:16" x14ac:dyDescent="0.25">
      <c r="C55" s="1" t="s">
        <v>38</v>
      </c>
    </row>
    <row r="56" spans="2:16" x14ac:dyDescent="0.25">
      <c r="C56" s="1" t="s">
        <v>39</v>
      </c>
    </row>
    <row r="57" spans="2:16" x14ac:dyDescent="0.25">
      <c r="C57" s="4" t="s">
        <v>93</v>
      </c>
      <c r="D57" s="22">
        <f>N44</f>
        <v>16.808246099999998</v>
      </c>
    </row>
    <row r="60" spans="2:16" x14ac:dyDescent="0.25">
      <c r="C60" s="1" t="s">
        <v>40</v>
      </c>
      <c r="D60" s="2"/>
      <c r="E60" s="2"/>
      <c r="F60" s="2"/>
      <c r="G60" s="2"/>
      <c r="J60" s="1" t="s">
        <v>41</v>
      </c>
    </row>
    <row r="63" spans="2:16" ht="24.75" customHeight="1" x14ac:dyDescent="0.25">
      <c r="C63" s="1" t="s">
        <v>42</v>
      </c>
      <c r="D63" s="2"/>
      <c r="E63" s="2"/>
      <c r="F63" s="1" t="s">
        <v>43</v>
      </c>
    </row>
    <row r="64" spans="2:16" ht="25.5" customHeight="1" x14ac:dyDescent="0.25">
      <c r="D64" s="2"/>
      <c r="E64" s="2"/>
      <c r="F64" s="1" t="s">
        <v>43</v>
      </c>
    </row>
    <row r="65" spans="4:6" ht="24.75" customHeight="1" x14ac:dyDescent="0.25">
      <c r="D65" s="2"/>
      <c r="E65" s="2"/>
      <c r="F65" s="1" t="s">
        <v>43</v>
      </c>
    </row>
  </sheetData>
  <mergeCells count="115">
    <mergeCell ref="B51:P51"/>
    <mergeCell ref="C52:K52"/>
    <mergeCell ref="L52:M52"/>
    <mergeCell ref="N52:O52"/>
    <mergeCell ref="C49:K49"/>
    <mergeCell ref="L49:M49"/>
    <mergeCell ref="N49:O49"/>
    <mergeCell ref="C50:K50"/>
    <mergeCell ref="L50:M50"/>
    <mergeCell ref="N50:O50"/>
    <mergeCell ref="B45:P45"/>
    <mergeCell ref="C46:K46"/>
    <mergeCell ref="L46:M46"/>
    <mergeCell ref="N46:O46"/>
    <mergeCell ref="C47:K47"/>
    <mergeCell ref="L47:M47"/>
    <mergeCell ref="N47:O47"/>
    <mergeCell ref="C48:K48"/>
    <mergeCell ref="L48:M48"/>
    <mergeCell ref="N48:O48"/>
    <mergeCell ref="C42:K42"/>
    <mergeCell ref="L42:M42"/>
    <mergeCell ref="N42:O42"/>
    <mergeCell ref="C43:K43"/>
    <mergeCell ref="L43:M43"/>
    <mergeCell ref="N43:O43"/>
    <mergeCell ref="C44:K44"/>
    <mergeCell ref="L44:M44"/>
    <mergeCell ref="N44:O44"/>
    <mergeCell ref="C39:K39"/>
    <mergeCell ref="L39:M39"/>
    <mergeCell ref="N39:O39"/>
    <mergeCell ref="C40:K40"/>
    <mergeCell ref="L40:M40"/>
    <mergeCell ref="N40:O40"/>
    <mergeCell ref="C41:K41"/>
    <mergeCell ref="L41:M41"/>
    <mergeCell ref="N41:O41"/>
    <mergeCell ref="C36:K36"/>
    <mergeCell ref="L36:M36"/>
    <mergeCell ref="N36:O36"/>
    <mergeCell ref="C37:K37"/>
    <mergeCell ref="L37:M37"/>
    <mergeCell ref="N37:O37"/>
    <mergeCell ref="C38:K38"/>
    <mergeCell ref="L38:M38"/>
    <mergeCell ref="N38:O38"/>
    <mergeCell ref="C33:K33"/>
    <mergeCell ref="L33:M33"/>
    <mergeCell ref="N33:O33"/>
    <mergeCell ref="C34:K34"/>
    <mergeCell ref="L34:M34"/>
    <mergeCell ref="N34:O34"/>
    <mergeCell ref="C35:K35"/>
    <mergeCell ref="L35:M35"/>
    <mergeCell ref="N35:O35"/>
    <mergeCell ref="C29:K29"/>
    <mergeCell ref="L29:M29"/>
    <mergeCell ref="N29:O29"/>
    <mergeCell ref="B30:P30"/>
    <mergeCell ref="C31:K31"/>
    <mergeCell ref="L31:M31"/>
    <mergeCell ref="N31:O31"/>
    <mergeCell ref="C32:K32"/>
    <mergeCell ref="L32:M32"/>
    <mergeCell ref="N32:O32"/>
    <mergeCell ref="C28:K28"/>
    <mergeCell ref="L28:M28"/>
    <mergeCell ref="N28:O28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2:E22"/>
    <mergeCell ref="R15:S15"/>
    <mergeCell ref="T15:U15"/>
    <mergeCell ref="P16:Q16"/>
    <mergeCell ref="R16:S16"/>
    <mergeCell ref="T16:U16"/>
    <mergeCell ref="P17:Q17"/>
    <mergeCell ref="R17:S17"/>
    <mergeCell ref="T17:U17"/>
    <mergeCell ref="B2:V2"/>
    <mergeCell ref="B3:V3"/>
    <mergeCell ref="B4:V4"/>
    <mergeCell ref="P12:Q12"/>
    <mergeCell ref="R12:S12"/>
    <mergeCell ref="T12:U12"/>
    <mergeCell ref="P13:Q13"/>
    <mergeCell ref="R13:S13"/>
    <mergeCell ref="T13:U13"/>
    <mergeCell ref="P14:Q14"/>
    <mergeCell ref="R14:S14"/>
    <mergeCell ref="T14:U14"/>
    <mergeCell ref="P15:Q15"/>
    <mergeCell ref="P22:Q22"/>
    <mergeCell ref="R19:S19"/>
    <mergeCell ref="R20:S20"/>
    <mergeCell ref="R22:S22"/>
    <mergeCell ref="T19:U19"/>
    <mergeCell ref="T20:U20"/>
    <mergeCell ref="T22:U22"/>
    <mergeCell ref="P18:Q18"/>
    <mergeCell ref="R18:S18"/>
    <mergeCell ref="T18:U18"/>
    <mergeCell ref="P19:Q19"/>
    <mergeCell ref="P20:Q20"/>
    <mergeCell ref="P21:Q21"/>
    <mergeCell ref="R21:S21"/>
    <mergeCell ref="T21:U21"/>
  </mergeCells>
  <pageMargins left="0.25" right="0.25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B1:W65"/>
  <sheetViews>
    <sheetView view="pageBreakPreview" topLeftCell="A10" zoomScale="78" zoomScaleNormal="84" zoomScaleSheetLayoutView="78" workbookViewId="0">
      <selection activeCell="L17" sqref="L17"/>
    </sheetView>
  </sheetViews>
  <sheetFormatPr defaultRowHeight="15.75" x14ac:dyDescent="0.25"/>
  <cols>
    <col min="1" max="1" width="9.140625" style="1"/>
    <col min="2" max="2" width="3.5703125" style="1" bestFit="1" customWidth="1"/>
    <col min="3" max="3" width="37.7109375" style="1" customWidth="1"/>
    <col min="4" max="4" width="13.28515625" style="1" customWidth="1"/>
    <col min="5" max="5" width="11.140625" style="1" customWidth="1"/>
    <col min="6" max="6" width="9.42578125" style="1" bestFit="1" customWidth="1"/>
    <col min="7" max="7" width="1.5703125" style="1" hidden="1" customWidth="1"/>
    <col min="8" max="8" width="12.5703125" style="1" hidden="1" customWidth="1"/>
    <col min="9" max="9" width="1.5703125" style="1" customWidth="1"/>
    <col min="10" max="10" width="11.140625" style="1" customWidth="1"/>
    <col min="11" max="11" width="2.28515625" style="1" customWidth="1"/>
    <col min="12" max="12" width="11.85546875" style="1" customWidth="1"/>
    <col min="13" max="13" width="1.5703125" style="1" customWidth="1"/>
    <col min="14" max="14" width="15.7109375" style="1" customWidth="1"/>
    <col min="15" max="15" width="1.7109375" style="1" customWidth="1"/>
    <col min="16" max="16" width="12" style="1" customWidth="1"/>
    <col min="17" max="17" width="6.5703125" style="1" customWidth="1"/>
    <col min="18" max="18" width="11.5703125" style="1" customWidth="1"/>
    <col min="19" max="19" width="6.28515625" style="1" customWidth="1"/>
    <col min="20" max="20" width="15.42578125" style="1" customWidth="1"/>
    <col min="21" max="21" width="5.42578125" style="1" customWidth="1"/>
    <col min="22" max="22" width="11" style="1" customWidth="1"/>
    <col min="23" max="16384" width="9.140625" style="1"/>
  </cols>
  <sheetData>
    <row r="1" spans="2:23" ht="16.5" thickBot="1" x14ac:dyDescent="0.3"/>
    <row r="2" spans="2:23" x14ac:dyDescent="0.25">
      <c r="B2" s="63" t="s">
        <v>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5"/>
      <c r="W2" s="49" t="s">
        <v>101</v>
      </c>
    </row>
    <row r="3" spans="2:23" x14ac:dyDescent="0.25">
      <c r="B3" s="66" t="str">
        <f>'1'!B3:V3</f>
        <v>с 1.01.2016 по 31.12.2016 г.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/>
    </row>
    <row r="4" spans="2:23" ht="16.5" thickBot="1" x14ac:dyDescent="0.3">
      <c r="B4" s="69" t="s">
        <v>32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1"/>
    </row>
    <row r="5" spans="2:23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2:23" x14ac:dyDescent="0.25">
      <c r="C6" s="29" t="s">
        <v>49</v>
      </c>
    </row>
    <row r="8" spans="2:23" x14ac:dyDescent="0.25">
      <c r="C8" s="1" t="s">
        <v>33</v>
      </c>
      <c r="D8" s="2"/>
    </row>
    <row r="9" spans="2:23" x14ac:dyDescent="0.25">
      <c r="C9" s="1" t="s">
        <v>35</v>
      </c>
      <c r="D9" s="3">
        <v>47</v>
      </c>
    </row>
    <row r="10" spans="2:23" x14ac:dyDescent="0.25">
      <c r="C10" s="1" t="s">
        <v>36</v>
      </c>
      <c r="D10" s="3">
        <v>20</v>
      </c>
    </row>
    <row r="12" spans="2:23" ht="63" x14ac:dyDescent="0.25">
      <c r="C12" s="27" t="s">
        <v>1</v>
      </c>
      <c r="D12" s="59" t="str">
        <f>'1'!D12:E12</f>
        <v>Содержание общего имущества дома</v>
      </c>
      <c r="E12" s="60"/>
      <c r="F12" s="27" t="s">
        <v>8</v>
      </c>
      <c r="G12" s="7"/>
      <c r="H12" s="27" t="s">
        <v>9</v>
      </c>
      <c r="I12" s="7"/>
      <c r="J12" s="28" t="str">
        <f>'1'!J12</f>
        <v>Вывоз ТБО (руб./чел.)</v>
      </c>
      <c r="K12" s="7"/>
      <c r="L12" s="28" t="s">
        <v>67</v>
      </c>
      <c r="M12" s="7"/>
      <c r="N12" s="28" t="str">
        <f>'1'!N12</f>
        <v>Обслуживание антены (руб./лиц.сч.)</v>
      </c>
      <c r="O12" s="8"/>
      <c r="P12" s="59" t="str">
        <f>'1'!P12</f>
        <v xml:space="preserve">Хол. вода </v>
      </c>
      <c r="Q12" s="60"/>
      <c r="R12" s="59" t="str">
        <f>'1'!R12</f>
        <v xml:space="preserve">Гор. вода </v>
      </c>
      <c r="S12" s="60"/>
      <c r="T12" s="59" t="str">
        <f>'1'!T12</f>
        <v>Канализация</v>
      </c>
      <c r="U12" s="60"/>
      <c r="V12" s="27" t="s">
        <v>10</v>
      </c>
    </row>
    <row r="13" spans="2:23" x14ac:dyDescent="0.25">
      <c r="C13" s="9" t="s">
        <v>2</v>
      </c>
      <c r="D13" s="57"/>
      <c r="E13" s="58"/>
      <c r="F13" s="11"/>
      <c r="G13" s="7"/>
      <c r="H13" s="11"/>
      <c r="I13" s="7"/>
      <c r="J13" s="11"/>
      <c r="K13" s="7"/>
      <c r="L13" s="11"/>
      <c r="M13" s="7"/>
      <c r="N13" s="11"/>
      <c r="O13" s="7"/>
      <c r="P13" s="57"/>
      <c r="Q13" s="58"/>
      <c r="R13" s="57"/>
      <c r="S13" s="58"/>
      <c r="T13" s="57"/>
      <c r="U13" s="58"/>
      <c r="V13" s="30">
        <f>V14</f>
        <v>-83773.990000000005</v>
      </c>
    </row>
    <row r="14" spans="2:23" ht="47.25" x14ac:dyDescent="0.25">
      <c r="C14" s="10" t="str">
        <f>'1'!C14</f>
        <v>Остаток с предыдущего периода (задолженность(-), переплата (+)) на 01.01.2016г.</v>
      </c>
      <c r="D14" s="57"/>
      <c r="E14" s="58"/>
      <c r="F14" s="11">
        <v>-6005.81</v>
      </c>
      <c r="G14" s="7"/>
      <c r="H14" s="14">
        <v>0</v>
      </c>
      <c r="I14" s="7"/>
      <c r="J14" s="14">
        <v>-1893.54</v>
      </c>
      <c r="K14" s="7"/>
      <c r="L14" s="11">
        <v>-59129.38</v>
      </c>
      <c r="M14" s="7"/>
      <c r="N14" s="11">
        <v>-1378.58</v>
      </c>
      <c r="O14" s="7"/>
      <c r="P14" s="57">
        <v>-1744.78</v>
      </c>
      <c r="Q14" s="58"/>
      <c r="R14" s="57">
        <v>-9577.2900000000009</v>
      </c>
      <c r="S14" s="58"/>
      <c r="T14" s="57">
        <v>-4044.61</v>
      </c>
      <c r="U14" s="58"/>
      <c r="V14" s="21">
        <f>F14+H14+J14+L14+N14+P14+Q14+R14+S14+T14+U14</f>
        <v>-83773.990000000005</v>
      </c>
    </row>
    <row r="15" spans="2:23" x14ac:dyDescent="0.25">
      <c r="C15" s="9" t="s">
        <v>3</v>
      </c>
      <c r="D15" s="57"/>
      <c r="E15" s="58"/>
      <c r="F15" s="11"/>
      <c r="G15" s="7"/>
      <c r="H15" s="11"/>
      <c r="I15" s="7"/>
      <c r="J15" s="14">
        <v>16900.45</v>
      </c>
      <c r="K15" s="7"/>
      <c r="L15" s="11">
        <v>437944.08</v>
      </c>
      <c r="M15" s="7"/>
      <c r="N15" s="11">
        <v>10050</v>
      </c>
      <c r="O15" s="7"/>
      <c r="P15" s="61">
        <f>13801.73+244.77</f>
        <v>14046.5</v>
      </c>
      <c r="Q15" s="62"/>
      <c r="R15" s="61">
        <f>64030.56+1063.3</f>
        <v>65093.86</v>
      </c>
      <c r="S15" s="62"/>
      <c r="T15" s="61">
        <f>17143.48+12273.33</f>
        <v>29416.809999999998</v>
      </c>
      <c r="U15" s="62"/>
      <c r="V15" s="11">
        <f>F15+H15+J15+L15+N15+P15+Q15+R15+S15+T15+U15</f>
        <v>573451.69999999995</v>
      </c>
    </row>
    <row r="16" spans="2:23" x14ac:dyDescent="0.25">
      <c r="C16" s="9" t="s">
        <v>4</v>
      </c>
      <c r="D16" s="57"/>
      <c r="E16" s="58"/>
      <c r="F16" s="11">
        <f>934.45+4493.11</f>
        <v>5427.5599999999995</v>
      </c>
      <c r="G16" s="7"/>
      <c r="H16" s="14"/>
      <c r="I16" s="7"/>
      <c r="J16" s="14">
        <v>15539.23</v>
      </c>
      <c r="K16" s="7"/>
      <c r="L16" s="11">
        <v>413785.25</v>
      </c>
      <c r="M16" s="7"/>
      <c r="N16" s="14">
        <v>9726.82</v>
      </c>
      <c r="O16" s="7"/>
      <c r="P16" s="61">
        <f>13077.98+108.78</f>
        <v>13186.76</v>
      </c>
      <c r="Q16" s="62"/>
      <c r="R16" s="61">
        <f>61460.13+450.34</f>
        <v>61910.469999999994</v>
      </c>
      <c r="S16" s="62"/>
      <c r="T16" s="61">
        <f>16839.25+11271.83</f>
        <v>28111.08</v>
      </c>
      <c r="U16" s="62"/>
      <c r="V16" s="12">
        <f>F16+H16+J16+L16+N16+P16+Q16+R16+S16+T16+U16</f>
        <v>547687.16999999993</v>
      </c>
    </row>
    <row r="17" spans="2:22" ht="31.5" x14ac:dyDescent="0.25">
      <c r="C17" s="10" t="s">
        <v>5</v>
      </c>
      <c r="D17" s="57"/>
      <c r="E17" s="58"/>
      <c r="F17" s="14">
        <f>P44+P50</f>
        <v>0</v>
      </c>
      <c r="G17" s="7"/>
      <c r="H17" s="11">
        <f>P52</f>
        <v>0</v>
      </c>
      <c r="I17" s="7"/>
      <c r="J17" s="14">
        <f>J15+18637.28</f>
        <v>35537.729999999996</v>
      </c>
      <c r="K17" s="7"/>
      <c r="L17" s="18">
        <f>(909.12*L20*6)+(909.12*L21*6)</f>
        <v>437304.90239999996</v>
      </c>
      <c r="M17" s="7"/>
      <c r="N17" s="14">
        <v>11336.33</v>
      </c>
      <c r="O17" s="7"/>
      <c r="P17" s="61">
        <f>P15+Q15+114670.71</f>
        <v>128717.21</v>
      </c>
      <c r="Q17" s="62"/>
      <c r="R17" s="61">
        <f>R15+S15</f>
        <v>65093.86</v>
      </c>
      <c r="S17" s="62"/>
      <c r="T17" s="61">
        <f>T15+U15</f>
        <v>29416.809999999998</v>
      </c>
      <c r="U17" s="62"/>
      <c r="V17" s="21">
        <f>F17+H17+J17+L17+N17+P17+Q17+R17+S17+T17+U17</f>
        <v>707406.84239999996</v>
      </c>
    </row>
    <row r="18" spans="2:22" ht="31.5" x14ac:dyDescent="0.25">
      <c r="C18" s="10" t="str">
        <f>'1'!C18</f>
        <v>Текущий остаток (задолженность (-), переплата (+)) на 31.12.2016 г.</v>
      </c>
      <c r="D18" s="57"/>
      <c r="E18" s="58"/>
      <c r="F18" s="31">
        <f>F16-F15+F14</f>
        <v>-578.25000000000091</v>
      </c>
      <c r="G18" s="32"/>
      <c r="H18" s="31">
        <f>H16-H15+H14</f>
        <v>0</v>
      </c>
      <c r="I18" s="32"/>
      <c r="J18" s="31">
        <f>J16-J15+J14</f>
        <v>-3254.7600000000011</v>
      </c>
      <c r="K18" s="32"/>
      <c r="L18" s="31">
        <f>L16-L15+L14</f>
        <v>-83288.210000000021</v>
      </c>
      <c r="M18" s="32"/>
      <c r="N18" s="33">
        <f>N16-N15+N14</f>
        <v>-1701.7600000000002</v>
      </c>
      <c r="O18" s="32"/>
      <c r="P18" s="55">
        <f t="shared" ref="P18:V18" si="0">P16-P15+P14</f>
        <v>-2604.5199999999995</v>
      </c>
      <c r="Q18" s="56"/>
      <c r="R18" s="55">
        <f t="shared" si="0"/>
        <v>-12760.680000000008</v>
      </c>
      <c r="S18" s="56"/>
      <c r="T18" s="55">
        <f t="shared" si="0"/>
        <v>-5350.3399999999965</v>
      </c>
      <c r="U18" s="56"/>
      <c r="V18" s="33">
        <f t="shared" si="0"/>
        <v>-109538.52000000003</v>
      </c>
    </row>
    <row r="19" spans="2:22" x14ac:dyDescent="0.25">
      <c r="C19" s="9" t="s">
        <v>6</v>
      </c>
      <c r="D19" s="57"/>
      <c r="E19" s="58"/>
      <c r="F19" s="11"/>
      <c r="G19" s="7"/>
      <c r="H19" s="11"/>
      <c r="I19" s="7"/>
      <c r="J19" s="11"/>
      <c r="K19" s="7"/>
      <c r="L19" s="11"/>
      <c r="M19" s="7"/>
      <c r="N19" s="11"/>
      <c r="O19" s="7"/>
      <c r="P19" s="57"/>
      <c r="Q19" s="58"/>
      <c r="R19" s="57"/>
      <c r="S19" s="58"/>
      <c r="T19" s="57"/>
      <c r="U19" s="58"/>
      <c r="V19" s="30">
        <f>F18+H18+J18+L18+N18+P18+Q18+R18+S18+T18+U18</f>
        <v>-109538.52000000003</v>
      </c>
    </row>
    <row r="20" spans="2:22" x14ac:dyDescent="0.25">
      <c r="C20" s="9" t="str">
        <f>'1'!C20</f>
        <v>Тариф (руб/м²), 1-е полугодие</v>
      </c>
      <c r="D20" s="57"/>
      <c r="E20" s="58"/>
      <c r="F20" s="13">
        <f>'1'!F20</f>
        <v>15.31</v>
      </c>
      <c r="G20" s="7"/>
      <c r="H20" s="13">
        <f>'1'!H20</f>
        <v>37.700000000000003</v>
      </c>
      <c r="I20" s="7"/>
      <c r="J20" s="13">
        <f>'1'!J20</f>
        <v>44.32</v>
      </c>
      <c r="K20" s="7"/>
      <c r="L20" s="11">
        <v>39.520000000000003</v>
      </c>
      <c r="M20" s="7"/>
      <c r="N20" s="11">
        <f>'1'!N20</f>
        <v>50</v>
      </c>
      <c r="O20" s="7"/>
      <c r="P20" s="57" t="str">
        <f>'1'!P20</f>
        <v xml:space="preserve">15,02 руб./м3 </v>
      </c>
      <c r="Q20" s="58"/>
      <c r="R20" s="57" t="str">
        <f>'1'!R20</f>
        <v>99,55 руб./м3</v>
      </c>
      <c r="S20" s="58"/>
      <c r="T20" s="57" t="str">
        <f>'1'!T20</f>
        <v>18,66 руб./м3</v>
      </c>
      <c r="U20" s="58"/>
      <c r="V20" s="11"/>
    </row>
    <row r="21" spans="2:22" x14ac:dyDescent="0.25">
      <c r="C21" s="9" t="str">
        <f>'1'!C21</f>
        <v>Тариф (руб/м²), 2-е полугодие</v>
      </c>
      <c r="D21" s="50"/>
      <c r="E21" s="51"/>
      <c r="F21" s="21">
        <f>'1'!F21</f>
        <v>15.31</v>
      </c>
      <c r="G21" s="7"/>
      <c r="H21" s="21"/>
      <c r="I21" s="7"/>
      <c r="J21" s="21">
        <f>'1'!J21</f>
        <v>44.32</v>
      </c>
      <c r="K21" s="7"/>
      <c r="L21" s="21">
        <v>40.65</v>
      </c>
      <c r="M21" s="7"/>
      <c r="N21" s="21">
        <f>'1'!N21</f>
        <v>50</v>
      </c>
      <c r="O21" s="7"/>
      <c r="P21" s="57" t="str">
        <f>'1'!P21:Q21</f>
        <v>15,63 руб./м³</v>
      </c>
      <c r="Q21" s="58"/>
      <c r="R21" s="57" t="str">
        <f>'1'!R21:S21</f>
        <v>102,59 руб./м³</v>
      </c>
      <c r="S21" s="58"/>
      <c r="T21" s="57" t="str">
        <f>'1'!T21:U21</f>
        <v>19,41 руб./м³</v>
      </c>
      <c r="U21" s="58"/>
      <c r="V21" s="21"/>
    </row>
    <row r="22" spans="2:22" x14ac:dyDescent="0.25">
      <c r="C22" s="9" t="s">
        <v>44</v>
      </c>
      <c r="D22" s="57"/>
      <c r="E22" s="58"/>
      <c r="F22" s="18">
        <f>N44+N50</f>
        <v>16.808246099999998</v>
      </c>
      <c r="G22" s="7"/>
      <c r="H22" s="11"/>
      <c r="I22" s="7"/>
      <c r="J22" s="11"/>
      <c r="K22" s="7"/>
      <c r="L22" s="11"/>
      <c r="M22" s="7"/>
      <c r="N22" s="11"/>
      <c r="O22" s="7"/>
      <c r="P22" s="57"/>
      <c r="Q22" s="58"/>
      <c r="R22" s="57"/>
      <c r="S22" s="58"/>
      <c r="T22" s="57"/>
      <c r="U22" s="58"/>
      <c r="V22" s="11"/>
    </row>
    <row r="24" spans="2:22" x14ac:dyDescent="0.25">
      <c r="C24" s="5" t="s">
        <v>11</v>
      </c>
    </row>
    <row r="25" spans="2:22" x14ac:dyDescent="0.25">
      <c r="C25" s="1" t="s">
        <v>12</v>
      </c>
      <c r="J25" s="34">
        <f>V19/V15*100</f>
        <v>-19.101612219477254</v>
      </c>
      <c r="K25" s="35" t="s">
        <v>37</v>
      </c>
    </row>
    <row r="28" spans="2:22" ht="33" customHeight="1" x14ac:dyDescent="0.25">
      <c r="B28" s="27" t="s">
        <v>13</v>
      </c>
      <c r="C28" s="72" t="s">
        <v>14</v>
      </c>
      <c r="D28" s="72"/>
      <c r="E28" s="72"/>
      <c r="F28" s="72"/>
      <c r="G28" s="72"/>
      <c r="H28" s="72"/>
      <c r="I28" s="72"/>
      <c r="J28" s="72"/>
      <c r="K28" s="72"/>
      <c r="L28" s="73" t="s">
        <v>45</v>
      </c>
      <c r="M28" s="73"/>
      <c r="N28" s="73" t="s">
        <v>46</v>
      </c>
      <c r="O28" s="73"/>
      <c r="P28" s="27" t="s">
        <v>28</v>
      </c>
    </row>
    <row r="29" spans="2:22" x14ac:dyDescent="0.25">
      <c r="B29" s="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4"/>
    </row>
    <row r="30" spans="2:22" x14ac:dyDescent="0.25">
      <c r="B30" s="90" t="s">
        <v>7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</row>
    <row r="31" spans="2:22" x14ac:dyDescent="0.25">
      <c r="B31" s="4">
        <v>1</v>
      </c>
      <c r="C31" s="76" t="s">
        <v>15</v>
      </c>
      <c r="D31" s="76"/>
      <c r="E31" s="76"/>
      <c r="F31" s="76"/>
      <c r="G31" s="76"/>
      <c r="H31" s="76"/>
      <c r="I31" s="76"/>
      <c r="J31" s="76"/>
      <c r="K31" s="76"/>
      <c r="L31" s="74"/>
      <c r="M31" s="74"/>
      <c r="N31" s="77">
        <f>'1'!N31:O31</f>
        <v>3.5</v>
      </c>
      <c r="O31" s="77"/>
      <c r="P31" s="17">
        <f>L31*N31*6</f>
        <v>0</v>
      </c>
    </row>
    <row r="32" spans="2:22" x14ac:dyDescent="0.25">
      <c r="B32" s="4">
        <v>2</v>
      </c>
      <c r="C32" s="76" t="s">
        <v>34</v>
      </c>
      <c r="D32" s="76"/>
      <c r="E32" s="76"/>
      <c r="F32" s="76"/>
      <c r="G32" s="76"/>
      <c r="H32" s="76"/>
      <c r="I32" s="76"/>
      <c r="J32" s="76"/>
      <c r="K32" s="76"/>
      <c r="L32" s="74"/>
      <c r="M32" s="74"/>
      <c r="N32" s="77">
        <f>'1'!N32:O32</f>
        <v>0.98752150000000005</v>
      </c>
      <c r="O32" s="77"/>
      <c r="P32" s="17">
        <f t="shared" ref="P32:P43" si="1">L32*N32*6</f>
        <v>0</v>
      </c>
    </row>
    <row r="33" spans="2:16" x14ac:dyDescent="0.25">
      <c r="B33" s="4">
        <v>3</v>
      </c>
      <c r="C33" s="76" t="s">
        <v>16</v>
      </c>
      <c r="D33" s="76"/>
      <c r="E33" s="76"/>
      <c r="F33" s="76"/>
      <c r="G33" s="76"/>
      <c r="H33" s="76"/>
      <c r="I33" s="76"/>
      <c r="J33" s="76"/>
      <c r="K33" s="76"/>
      <c r="L33" s="74"/>
      <c r="M33" s="74"/>
      <c r="N33" s="77">
        <f>'1'!N33:O33</f>
        <v>2.8257476000000001</v>
      </c>
      <c r="O33" s="77"/>
      <c r="P33" s="17">
        <f t="shared" si="1"/>
        <v>0</v>
      </c>
    </row>
    <row r="34" spans="2:16" x14ac:dyDescent="0.25">
      <c r="B34" s="4">
        <v>4</v>
      </c>
      <c r="C34" s="76" t="s">
        <v>17</v>
      </c>
      <c r="D34" s="76"/>
      <c r="E34" s="76"/>
      <c r="F34" s="76"/>
      <c r="G34" s="76"/>
      <c r="H34" s="76"/>
      <c r="I34" s="76"/>
      <c r="J34" s="76"/>
      <c r="K34" s="76"/>
      <c r="L34" s="74"/>
      <c r="M34" s="74"/>
      <c r="N34" s="77">
        <f>'1'!N34:O34</f>
        <v>1</v>
      </c>
      <c r="O34" s="77"/>
      <c r="P34" s="17">
        <f t="shared" si="1"/>
        <v>0</v>
      </c>
    </row>
    <row r="35" spans="2:16" x14ac:dyDescent="0.25">
      <c r="B35" s="4">
        <v>5</v>
      </c>
      <c r="C35" s="76" t="s">
        <v>18</v>
      </c>
      <c r="D35" s="76"/>
      <c r="E35" s="76"/>
      <c r="F35" s="76"/>
      <c r="G35" s="76"/>
      <c r="H35" s="76"/>
      <c r="I35" s="76"/>
      <c r="J35" s="76"/>
      <c r="K35" s="76"/>
      <c r="L35" s="74"/>
      <c r="M35" s="74"/>
      <c r="N35" s="77">
        <f>'1'!N35:O35</f>
        <v>2</v>
      </c>
      <c r="O35" s="77"/>
      <c r="P35" s="17">
        <f t="shared" si="1"/>
        <v>0</v>
      </c>
    </row>
    <row r="36" spans="2:16" x14ac:dyDescent="0.25">
      <c r="B36" s="4">
        <v>6</v>
      </c>
      <c r="C36" s="76" t="s">
        <v>24</v>
      </c>
      <c r="D36" s="76"/>
      <c r="E36" s="76"/>
      <c r="F36" s="76"/>
      <c r="G36" s="76"/>
      <c r="H36" s="76"/>
      <c r="I36" s="76"/>
      <c r="J36" s="76"/>
      <c r="K36" s="76"/>
      <c r="L36" s="74"/>
      <c r="M36" s="74"/>
      <c r="N36" s="77">
        <f>'1'!N36:O36</f>
        <v>3</v>
      </c>
      <c r="O36" s="77"/>
      <c r="P36" s="17">
        <f t="shared" si="1"/>
        <v>0</v>
      </c>
    </row>
    <row r="37" spans="2:16" x14ac:dyDescent="0.25">
      <c r="B37" s="4">
        <v>7</v>
      </c>
      <c r="C37" s="76" t="s">
        <v>19</v>
      </c>
      <c r="D37" s="76"/>
      <c r="E37" s="76"/>
      <c r="F37" s="76"/>
      <c r="G37" s="76"/>
      <c r="H37" s="76"/>
      <c r="I37" s="76"/>
      <c r="J37" s="76"/>
      <c r="K37" s="76"/>
      <c r="L37" s="74"/>
      <c r="M37" s="74"/>
      <c r="N37" s="77">
        <f>'1'!N37:O37</f>
        <v>0.5</v>
      </c>
      <c r="O37" s="77"/>
      <c r="P37" s="17">
        <f t="shared" si="1"/>
        <v>0</v>
      </c>
    </row>
    <row r="38" spans="2:16" x14ac:dyDescent="0.25">
      <c r="B38" s="4">
        <v>8</v>
      </c>
      <c r="C38" s="76" t="s">
        <v>20</v>
      </c>
      <c r="D38" s="76"/>
      <c r="E38" s="76"/>
      <c r="F38" s="76"/>
      <c r="G38" s="76"/>
      <c r="H38" s="76"/>
      <c r="I38" s="76"/>
      <c r="J38" s="76"/>
      <c r="K38" s="76"/>
      <c r="L38" s="74"/>
      <c r="M38" s="74"/>
      <c r="N38" s="77">
        <f>'1'!N38:O38</f>
        <v>1.694977</v>
      </c>
      <c r="O38" s="77"/>
      <c r="P38" s="17">
        <f t="shared" si="1"/>
        <v>0</v>
      </c>
    </row>
    <row r="39" spans="2:16" x14ac:dyDescent="0.25">
      <c r="B39" s="4">
        <v>9</v>
      </c>
      <c r="C39" s="76" t="s">
        <v>84</v>
      </c>
      <c r="D39" s="76"/>
      <c r="E39" s="76"/>
      <c r="F39" s="76"/>
      <c r="G39" s="76"/>
      <c r="H39" s="76"/>
      <c r="I39" s="76"/>
      <c r="J39" s="76"/>
      <c r="K39" s="76"/>
      <c r="L39" s="74"/>
      <c r="M39" s="74"/>
      <c r="N39" s="77">
        <f>'1'!N39:O39</f>
        <v>0.1</v>
      </c>
      <c r="O39" s="77"/>
      <c r="P39" s="17">
        <f t="shared" si="1"/>
        <v>0</v>
      </c>
    </row>
    <row r="40" spans="2:16" x14ac:dyDescent="0.25">
      <c r="B40" s="4">
        <v>10</v>
      </c>
      <c r="C40" s="76" t="s">
        <v>21</v>
      </c>
      <c r="D40" s="76"/>
      <c r="E40" s="76"/>
      <c r="F40" s="76"/>
      <c r="G40" s="76"/>
      <c r="H40" s="76"/>
      <c r="I40" s="76"/>
      <c r="J40" s="76"/>
      <c r="K40" s="76"/>
      <c r="L40" s="74"/>
      <c r="M40" s="74"/>
      <c r="N40" s="77">
        <f>'1'!N40:O40</f>
        <v>0.2</v>
      </c>
      <c r="O40" s="77"/>
      <c r="P40" s="17">
        <f t="shared" si="1"/>
        <v>0</v>
      </c>
    </row>
    <row r="41" spans="2:16" x14ac:dyDescent="0.25">
      <c r="B41" s="4">
        <v>11</v>
      </c>
      <c r="C41" s="76" t="s">
        <v>22</v>
      </c>
      <c r="D41" s="76"/>
      <c r="E41" s="76"/>
      <c r="F41" s="76"/>
      <c r="G41" s="76"/>
      <c r="H41" s="76"/>
      <c r="I41" s="76"/>
      <c r="J41" s="76"/>
      <c r="K41" s="76"/>
      <c r="L41" s="74"/>
      <c r="M41" s="74"/>
      <c r="N41" s="77">
        <f>'1'!N41:O41</f>
        <v>0.5</v>
      </c>
      <c r="O41" s="77"/>
      <c r="P41" s="17">
        <f t="shared" si="1"/>
        <v>0</v>
      </c>
    </row>
    <row r="42" spans="2:16" hidden="1" x14ac:dyDescent="0.25">
      <c r="B42" s="4">
        <v>12</v>
      </c>
      <c r="C42" s="76" t="s">
        <v>23</v>
      </c>
      <c r="D42" s="76"/>
      <c r="E42" s="76"/>
      <c r="F42" s="76"/>
      <c r="G42" s="76"/>
      <c r="H42" s="76"/>
      <c r="I42" s="76"/>
      <c r="J42" s="76"/>
      <c r="K42" s="76"/>
      <c r="L42" s="74"/>
      <c r="M42" s="74"/>
      <c r="N42" s="77">
        <f>'1'!N42:O42</f>
        <v>0</v>
      </c>
      <c r="O42" s="77"/>
      <c r="P42" s="17">
        <f t="shared" si="1"/>
        <v>0</v>
      </c>
    </row>
    <row r="43" spans="2:16" x14ac:dyDescent="0.25">
      <c r="B43" s="4">
        <v>12</v>
      </c>
      <c r="C43" s="76" t="s">
        <v>25</v>
      </c>
      <c r="D43" s="76"/>
      <c r="E43" s="76"/>
      <c r="F43" s="76"/>
      <c r="G43" s="76"/>
      <c r="H43" s="76"/>
      <c r="I43" s="76"/>
      <c r="J43" s="76"/>
      <c r="K43" s="76"/>
      <c r="L43" s="74"/>
      <c r="M43" s="74"/>
      <c r="N43" s="77">
        <f>'1'!N43:O43</f>
        <v>0.5</v>
      </c>
      <c r="O43" s="77"/>
      <c r="P43" s="17">
        <f t="shared" si="1"/>
        <v>0</v>
      </c>
    </row>
    <row r="44" spans="2:16" x14ac:dyDescent="0.25">
      <c r="B44" s="38"/>
      <c r="C44" s="78" t="s">
        <v>26</v>
      </c>
      <c r="D44" s="78"/>
      <c r="E44" s="78"/>
      <c r="F44" s="78"/>
      <c r="G44" s="78"/>
      <c r="H44" s="78"/>
      <c r="I44" s="78"/>
      <c r="J44" s="78"/>
      <c r="K44" s="78"/>
      <c r="L44" s="79">
        <v>909.12</v>
      </c>
      <c r="M44" s="79"/>
      <c r="N44" s="91">
        <f>SUM(N31:O43)</f>
        <v>16.808246099999998</v>
      </c>
      <c r="O44" s="91"/>
      <c r="P44" s="39">
        <f>SUM(P31:P43)</f>
        <v>0</v>
      </c>
    </row>
    <row r="45" spans="2:16" hidden="1" x14ac:dyDescent="0.25">
      <c r="B45" s="90" t="s">
        <v>27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</row>
    <row r="46" spans="2:16" hidden="1" x14ac:dyDescent="0.25">
      <c r="B46" s="4">
        <v>1</v>
      </c>
      <c r="C46" s="82" t="s">
        <v>73</v>
      </c>
      <c r="D46" s="83"/>
      <c r="E46" s="83"/>
      <c r="F46" s="83"/>
      <c r="G46" s="83"/>
      <c r="H46" s="83"/>
      <c r="I46" s="83"/>
      <c r="J46" s="83"/>
      <c r="K46" s="84"/>
      <c r="L46" s="74">
        <v>909.12</v>
      </c>
      <c r="M46" s="74"/>
      <c r="N46" s="74"/>
      <c r="O46" s="74"/>
      <c r="P46" s="17">
        <f>L46*N46*6</f>
        <v>0</v>
      </c>
    </row>
    <row r="47" spans="2:16" hidden="1" x14ac:dyDescent="0.25">
      <c r="B47" s="4">
        <v>2</v>
      </c>
      <c r="C47" s="82" t="s">
        <v>74</v>
      </c>
      <c r="D47" s="83"/>
      <c r="E47" s="83"/>
      <c r="F47" s="83"/>
      <c r="G47" s="83"/>
      <c r="H47" s="83"/>
      <c r="I47" s="83"/>
      <c r="J47" s="83"/>
      <c r="K47" s="84"/>
      <c r="L47" s="74">
        <v>909.12</v>
      </c>
      <c r="M47" s="74"/>
      <c r="N47" s="74"/>
      <c r="O47" s="74"/>
      <c r="P47" s="17">
        <f t="shared" ref="P47:P48" si="2">L47*N47*6</f>
        <v>0</v>
      </c>
    </row>
    <row r="48" spans="2:16" hidden="1" x14ac:dyDescent="0.25">
      <c r="B48" s="4">
        <v>3</v>
      </c>
      <c r="C48" s="74"/>
      <c r="D48" s="74"/>
      <c r="E48" s="74"/>
      <c r="F48" s="74"/>
      <c r="G48" s="74"/>
      <c r="H48" s="74"/>
      <c r="I48" s="74"/>
      <c r="J48" s="74"/>
      <c r="K48" s="74"/>
      <c r="L48" s="74">
        <v>909.12</v>
      </c>
      <c r="M48" s="74"/>
      <c r="N48" s="74"/>
      <c r="O48" s="74"/>
      <c r="P48" s="17">
        <f t="shared" si="2"/>
        <v>0</v>
      </c>
    </row>
    <row r="49" spans="2:16" hidden="1" x14ac:dyDescent="0.25">
      <c r="B49" s="4">
        <v>4</v>
      </c>
      <c r="C49" s="74"/>
      <c r="D49" s="74"/>
      <c r="E49" s="74"/>
      <c r="F49" s="74"/>
      <c r="G49" s="74"/>
      <c r="H49" s="74"/>
      <c r="I49" s="74"/>
      <c r="J49" s="74"/>
      <c r="K49" s="74"/>
      <c r="L49" s="74">
        <v>909.12</v>
      </c>
      <c r="M49" s="74"/>
      <c r="N49" s="74"/>
      <c r="O49" s="74"/>
      <c r="P49" s="17"/>
    </row>
    <row r="50" spans="2:16" hidden="1" x14ac:dyDescent="0.25">
      <c r="B50" s="38"/>
      <c r="C50" s="86" t="s">
        <v>29</v>
      </c>
      <c r="D50" s="87"/>
      <c r="E50" s="87"/>
      <c r="F50" s="87"/>
      <c r="G50" s="87"/>
      <c r="H50" s="87"/>
      <c r="I50" s="87"/>
      <c r="J50" s="87"/>
      <c r="K50" s="88"/>
      <c r="L50" s="79">
        <v>909.12</v>
      </c>
      <c r="M50" s="79"/>
      <c r="N50" s="79">
        <f>SUM(N46:O49)</f>
        <v>0</v>
      </c>
      <c r="O50" s="79"/>
      <c r="P50" s="39">
        <f>SUM(P46:P49)</f>
        <v>0</v>
      </c>
    </row>
    <row r="51" spans="2:16" hidden="1" x14ac:dyDescent="0.25">
      <c r="B51" s="90" t="s">
        <v>30</v>
      </c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</row>
    <row r="52" spans="2:16" hidden="1" x14ac:dyDescent="0.25">
      <c r="B52" s="38"/>
      <c r="C52" s="86" t="s">
        <v>31</v>
      </c>
      <c r="D52" s="87"/>
      <c r="E52" s="87"/>
      <c r="F52" s="87"/>
      <c r="G52" s="87"/>
      <c r="H52" s="87"/>
      <c r="I52" s="87"/>
      <c r="J52" s="87"/>
      <c r="K52" s="88"/>
      <c r="L52" s="79">
        <v>909.12</v>
      </c>
      <c r="M52" s="79"/>
      <c r="N52" s="79">
        <v>0</v>
      </c>
      <c r="O52" s="79"/>
      <c r="P52" s="38">
        <v>0</v>
      </c>
    </row>
    <row r="55" spans="2:16" x14ac:dyDescent="0.25">
      <c r="C55" s="1" t="s">
        <v>38</v>
      </c>
    </row>
    <row r="56" spans="2:16" x14ac:dyDescent="0.25">
      <c r="C56" s="1" t="s">
        <v>39</v>
      </c>
    </row>
    <row r="57" spans="2:16" x14ac:dyDescent="0.25">
      <c r="C57" s="4" t="s">
        <v>93</v>
      </c>
      <c r="D57" s="22">
        <f>N44</f>
        <v>16.808246099999998</v>
      </c>
    </row>
    <row r="60" spans="2:16" x14ac:dyDescent="0.25">
      <c r="C60" s="1" t="s">
        <v>40</v>
      </c>
      <c r="D60" s="2"/>
      <c r="E60" s="2"/>
      <c r="F60" s="2"/>
      <c r="G60" s="2"/>
      <c r="J60" s="1" t="s">
        <v>41</v>
      </c>
    </row>
    <row r="63" spans="2:16" ht="24.75" customHeight="1" x14ac:dyDescent="0.25">
      <c r="C63" s="1" t="s">
        <v>42</v>
      </c>
      <c r="D63" s="2"/>
      <c r="E63" s="2"/>
      <c r="F63" s="1" t="s">
        <v>43</v>
      </c>
    </row>
    <row r="64" spans="2:16" ht="25.5" customHeight="1" x14ac:dyDescent="0.25">
      <c r="D64" s="2"/>
      <c r="E64" s="2"/>
      <c r="F64" s="1" t="s">
        <v>43</v>
      </c>
    </row>
    <row r="65" spans="4:6" ht="24.75" customHeight="1" x14ac:dyDescent="0.25">
      <c r="D65" s="2"/>
      <c r="E65" s="2"/>
      <c r="F65" s="1" t="s">
        <v>43</v>
      </c>
    </row>
  </sheetData>
  <mergeCells count="115">
    <mergeCell ref="B51:P51"/>
    <mergeCell ref="C52:K52"/>
    <mergeCell ref="L52:M52"/>
    <mergeCell ref="N52:O52"/>
    <mergeCell ref="C49:K49"/>
    <mergeCell ref="L49:M49"/>
    <mergeCell ref="N49:O49"/>
    <mergeCell ref="C50:K50"/>
    <mergeCell ref="L50:M50"/>
    <mergeCell ref="N50:O50"/>
    <mergeCell ref="B45:P45"/>
    <mergeCell ref="C46:K46"/>
    <mergeCell ref="L46:M46"/>
    <mergeCell ref="N46:O46"/>
    <mergeCell ref="C47:K47"/>
    <mergeCell ref="L47:M47"/>
    <mergeCell ref="N47:O47"/>
    <mergeCell ref="C48:K48"/>
    <mergeCell ref="L48:M48"/>
    <mergeCell ref="N48:O48"/>
    <mergeCell ref="C42:K42"/>
    <mergeCell ref="L42:M42"/>
    <mergeCell ref="N42:O42"/>
    <mergeCell ref="C43:K43"/>
    <mergeCell ref="L43:M43"/>
    <mergeCell ref="N43:O43"/>
    <mergeCell ref="C44:K44"/>
    <mergeCell ref="L44:M44"/>
    <mergeCell ref="N44:O44"/>
    <mergeCell ref="C39:K39"/>
    <mergeCell ref="L39:M39"/>
    <mergeCell ref="N39:O39"/>
    <mergeCell ref="C40:K40"/>
    <mergeCell ref="L40:M40"/>
    <mergeCell ref="N40:O40"/>
    <mergeCell ref="C41:K41"/>
    <mergeCell ref="L41:M41"/>
    <mergeCell ref="N41:O41"/>
    <mergeCell ref="C36:K36"/>
    <mergeCell ref="L36:M36"/>
    <mergeCell ref="N36:O36"/>
    <mergeCell ref="C37:K37"/>
    <mergeCell ref="L37:M37"/>
    <mergeCell ref="N37:O37"/>
    <mergeCell ref="C38:K38"/>
    <mergeCell ref="L38:M38"/>
    <mergeCell ref="N38:O38"/>
    <mergeCell ref="C33:K33"/>
    <mergeCell ref="L33:M33"/>
    <mergeCell ref="N33:O33"/>
    <mergeCell ref="C34:K34"/>
    <mergeCell ref="L34:M34"/>
    <mergeCell ref="N34:O34"/>
    <mergeCell ref="C35:K35"/>
    <mergeCell ref="L35:M35"/>
    <mergeCell ref="N35:O35"/>
    <mergeCell ref="C29:K29"/>
    <mergeCell ref="L29:M29"/>
    <mergeCell ref="N29:O29"/>
    <mergeCell ref="B30:P30"/>
    <mergeCell ref="C31:K31"/>
    <mergeCell ref="L31:M31"/>
    <mergeCell ref="N31:O31"/>
    <mergeCell ref="C32:K32"/>
    <mergeCell ref="L32:M32"/>
    <mergeCell ref="N32:O32"/>
    <mergeCell ref="C28:K28"/>
    <mergeCell ref="L28:M28"/>
    <mergeCell ref="N28:O28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2:E22"/>
    <mergeCell ref="R15:S15"/>
    <mergeCell ref="T15:U15"/>
    <mergeCell ref="P16:Q16"/>
    <mergeCell ref="R16:S16"/>
    <mergeCell ref="T16:U16"/>
    <mergeCell ref="P17:Q17"/>
    <mergeCell ref="R17:S17"/>
    <mergeCell ref="T17:U17"/>
    <mergeCell ref="B2:V2"/>
    <mergeCell ref="B3:V3"/>
    <mergeCell ref="B4:V4"/>
    <mergeCell ref="P12:Q12"/>
    <mergeCell ref="R12:S12"/>
    <mergeCell ref="T12:U12"/>
    <mergeCell ref="P14:Q14"/>
    <mergeCell ref="P13:Q13"/>
    <mergeCell ref="R13:S13"/>
    <mergeCell ref="T13:U13"/>
    <mergeCell ref="R14:S14"/>
    <mergeCell ref="T14:U14"/>
    <mergeCell ref="P15:Q15"/>
    <mergeCell ref="P20:Q20"/>
    <mergeCell ref="R20:S20"/>
    <mergeCell ref="T20:U20"/>
    <mergeCell ref="P22:Q22"/>
    <mergeCell ref="R22:S22"/>
    <mergeCell ref="T22:U22"/>
    <mergeCell ref="P18:Q18"/>
    <mergeCell ref="R18:S18"/>
    <mergeCell ref="T18:U18"/>
    <mergeCell ref="P19:Q19"/>
    <mergeCell ref="R19:S19"/>
    <mergeCell ref="T19:U19"/>
    <mergeCell ref="P21:Q21"/>
    <mergeCell ref="R21:S21"/>
    <mergeCell ref="T21:U21"/>
  </mergeCells>
  <pageMargins left="0.25" right="0.25" top="0.75" bottom="0.75" header="0.3" footer="0.3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B1:V65"/>
  <sheetViews>
    <sheetView view="pageBreakPreview" topLeftCell="A10" zoomScale="84" zoomScaleNormal="84" zoomScaleSheetLayoutView="84" workbookViewId="0">
      <selection activeCell="L17" sqref="L17"/>
    </sheetView>
  </sheetViews>
  <sheetFormatPr defaultRowHeight="15.75" x14ac:dyDescent="0.25"/>
  <cols>
    <col min="1" max="1" width="3.7109375" style="1" customWidth="1"/>
    <col min="2" max="2" width="3.5703125" style="1" bestFit="1" customWidth="1"/>
    <col min="3" max="3" width="37.42578125" style="1" customWidth="1"/>
    <col min="4" max="4" width="13.28515625" style="1" customWidth="1"/>
    <col min="5" max="5" width="10.5703125" style="1" customWidth="1"/>
    <col min="6" max="6" width="11.140625" style="1" customWidth="1"/>
    <col min="7" max="7" width="1.5703125" style="1" hidden="1" customWidth="1"/>
    <col min="8" max="8" width="12.5703125" style="1" hidden="1" customWidth="1"/>
    <col min="9" max="9" width="1.5703125" style="1" customWidth="1"/>
    <col min="10" max="10" width="11.140625" style="1" customWidth="1"/>
    <col min="11" max="11" width="2.28515625" style="1" customWidth="1"/>
    <col min="12" max="12" width="11.42578125" style="1" bestFit="1" customWidth="1"/>
    <col min="13" max="13" width="1.5703125" style="1" customWidth="1"/>
    <col min="14" max="14" width="15.7109375" style="1" customWidth="1"/>
    <col min="15" max="15" width="1.7109375" style="1" customWidth="1"/>
    <col min="16" max="16" width="12" style="1" customWidth="1"/>
    <col min="17" max="17" width="10.28515625" style="1" customWidth="1"/>
    <col min="18" max="18" width="11.42578125" style="1" customWidth="1"/>
    <col min="19" max="19" width="10.28515625" style="1" customWidth="1"/>
    <col min="20" max="20" width="14.7109375" style="1" customWidth="1"/>
    <col min="21" max="21" width="10.85546875" style="1" customWidth="1"/>
    <col min="22" max="22" width="12" style="1" customWidth="1"/>
    <col min="23" max="16384" width="9.140625" style="1"/>
  </cols>
  <sheetData>
    <row r="1" spans="2:22" ht="16.5" thickBot="1" x14ac:dyDescent="0.3"/>
    <row r="2" spans="2:22" x14ac:dyDescent="0.25">
      <c r="B2" s="63" t="s">
        <v>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5"/>
    </row>
    <row r="3" spans="2:22" x14ac:dyDescent="0.25">
      <c r="B3" s="66" t="str">
        <f>'1'!B3:V3</f>
        <v>с 1.01.2016 по 31.12.2016 г.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/>
    </row>
    <row r="4" spans="2:22" ht="16.5" thickBot="1" x14ac:dyDescent="0.3">
      <c r="B4" s="69" t="s">
        <v>32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1"/>
    </row>
    <row r="5" spans="2:22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2:22" x14ac:dyDescent="0.25">
      <c r="C6" s="29" t="s">
        <v>50</v>
      </c>
    </row>
    <row r="8" spans="2:22" x14ac:dyDescent="0.25">
      <c r="C8" s="1" t="s">
        <v>33</v>
      </c>
      <c r="D8" s="2">
        <v>891.33</v>
      </c>
    </row>
    <row r="9" spans="2:22" x14ac:dyDescent="0.25">
      <c r="C9" s="1" t="s">
        <v>35</v>
      </c>
      <c r="D9" s="3">
        <v>43</v>
      </c>
    </row>
    <row r="10" spans="2:22" x14ac:dyDescent="0.25">
      <c r="C10" s="1" t="s">
        <v>36</v>
      </c>
      <c r="D10" s="3">
        <v>20</v>
      </c>
    </row>
    <row r="12" spans="2:22" ht="63" x14ac:dyDescent="0.25">
      <c r="C12" s="27" t="s">
        <v>1</v>
      </c>
      <c r="D12" s="59" t="str">
        <f>'1'!D12:E12</f>
        <v>Содержание общего имущества дома</v>
      </c>
      <c r="E12" s="60"/>
      <c r="F12" s="27" t="s">
        <v>8</v>
      </c>
      <c r="G12" s="7"/>
      <c r="H12" s="27" t="s">
        <v>9</v>
      </c>
      <c r="I12" s="7"/>
      <c r="J12" s="28" t="str">
        <f>'1'!J12</f>
        <v>Вывоз ТБО (руб./чел.)</v>
      </c>
      <c r="K12" s="7"/>
      <c r="L12" s="28" t="s">
        <v>67</v>
      </c>
      <c r="M12" s="7"/>
      <c r="N12" s="28" t="str">
        <f>'1'!N12</f>
        <v>Обслуживание антены (руб./лиц.сч.)</v>
      </c>
      <c r="O12" s="8"/>
      <c r="P12" s="59" t="str">
        <f>'1'!P12</f>
        <v xml:space="preserve">Хол. вода </v>
      </c>
      <c r="Q12" s="60"/>
      <c r="R12" s="59" t="str">
        <f>'1'!R12</f>
        <v xml:space="preserve">Гор. вода </v>
      </c>
      <c r="S12" s="60"/>
      <c r="T12" s="59" t="str">
        <f>'1'!T12</f>
        <v>Канализация</v>
      </c>
      <c r="U12" s="60"/>
      <c r="V12" s="27" t="s">
        <v>10</v>
      </c>
    </row>
    <row r="13" spans="2:22" x14ac:dyDescent="0.25">
      <c r="C13" s="9" t="s">
        <v>2</v>
      </c>
      <c r="D13" s="57"/>
      <c r="E13" s="58"/>
      <c r="F13" s="11"/>
      <c r="G13" s="7"/>
      <c r="H13" s="11"/>
      <c r="I13" s="7"/>
      <c r="J13" s="11"/>
      <c r="K13" s="7"/>
      <c r="L13" s="11"/>
      <c r="M13" s="7"/>
      <c r="N13" s="11"/>
      <c r="O13" s="7"/>
      <c r="P13" s="57"/>
      <c r="Q13" s="58"/>
      <c r="R13" s="57"/>
      <c r="S13" s="58"/>
      <c r="T13" s="57"/>
      <c r="U13" s="58"/>
      <c r="V13" s="42">
        <f>V14</f>
        <v>-127678.40999999997</v>
      </c>
    </row>
    <row r="14" spans="2:22" ht="47.25" x14ac:dyDescent="0.25">
      <c r="C14" s="10" t="str">
        <f>'1'!C14</f>
        <v>Остаток с предыдущего периода (задолженность(-), переплата (+)) на 01.01.2016г.</v>
      </c>
      <c r="D14" s="57"/>
      <c r="E14" s="58"/>
      <c r="F14" s="11">
        <v>-23307.83</v>
      </c>
      <c r="G14" s="7"/>
      <c r="H14" s="11">
        <v>0</v>
      </c>
      <c r="I14" s="7"/>
      <c r="J14" s="11">
        <v>-4648.9799999999996</v>
      </c>
      <c r="K14" s="7"/>
      <c r="L14" s="11">
        <v>-64932.59</v>
      </c>
      <c r="M14" s="7"/>
      <c r="N14" s="11">
        <v>6288.33</v>
      </c>
      <c r="O14" s="7"/>
      <c r="P14" s="57">
        <v>-5808.54</v>
      </c>
      <c r="Q14" s="58"/>
      <c r="R14" s="57">
        <v>-21631.01</v>
      </c>
      <c r="S14" s="58"/>
      <c r="T14" s="57">
        <v>-13637.79</v>
      </c>
      <c r="U14" s="58"/>
      <c r="V14" s="18">
        <f>F14+H14+J14+L14+N14+P14+Q14+R14+S14+T14+U14</f>
        <v>-127678.40999999997</v>
      </c>
    </row>
    <row r="15" spans="2:22" x14ac:dyDescent="0.25">
      <c r="C15" s="9" t="s">
        <v>3</v>
      </c>
      <c r="D15" s="57"/>
      <c r="E15" s="58"/>
      <c r="F15" s="11">
        <v>163558.68</v>
      </c>
      <c r="G15" s="7"/>
      <c r="H15" s="14"/>
      <c r="I15" s="7"/>
      <c r="J15" s="14">
        <v>19413.810000000001</v>
      </c>
      <c r="K15" s="7"/>
      <c r="L15" s="11">
        <v>428241.72</v>
      </c>
      <c r="M15" s="7"/>
      <c r="N15" s="11">
        <v>8400</v>
      </c>
      <c r="O15" s="7"/>
      <c r="P15" s="61">
        <f>15599.82+571.14</f>
        <v>16170.96</v>
      </c>
      <c r="Q15" s="62"/>
      <c r="R15" s="61">
        <f>97849.4+2481.03</f>
        <v>100330.43</v>
      </c>
      <c r="S15" s="62"/>
      <c r="T15" s="61">
        <f>19376.31+18424.01</f>
        <v>37800.32</v>
      </c>
      <c r="U15" s="62"/>
      <c r="V15" s="11">
        <f>F15+H15+J15+L15+N15+P15+Q15+R15+S15+T15+U15</f>
        <v>773915.91999999981</v>
      </c>
    </row>
    <row r="16" spans="2:22" x14ac:dyDescent="0.25">
      <c r="C16" s="9" t="s">
        <v>4</v>
      </c>
      <c r="D16" s="57"/>
      <c r="E16" s="58"/>
      <c r="F16" s="11">
        <v>157649.73000000001</v>
      </c>
      <c r="G16" s="7"/>
      <c r="H16" s="14"/>
      <c r="I16" s="7"/>
      <c r="J16" s="14">
        <v>20056.86</v>
      </c>
      <c r="K16" s="7"/>
      <c r="L16" s="11">
        <v>413076.07</v>
      </c>
      <c r="M16" s="7"/>
      <c r="N16" s="14">
        <v>3964.91</v>
      </c>
      <c r="O16" s="7"/>
      <c r="P16" s="61">
        <f>19708.79+139.28</f>
        <v>19848.07</v>
      </c>
      <c r="Q16" s="62"/>
      <c r="R16" s="61">
        <f>97570.97+561.92</f>
        <v>98132.89</v>
      </c>
      <c r="S16" s="62"/>
      <c r="T16" s="61">
        <f>24283.95+17147.67</f>
        <v>41431.619999999995</v>
      </c>
      <c r="U16" s="62"/>
      <c r="V16" s="11">
        <f>F16+H16+J16+L16+N16+P16+Q16+R16+S16+T16+U16</f>
        <v>754160.15</v>
      </c>
    </row>
    <row r="17" spans="2:22" ht="31.5" x14ac:dyDescent="0.25">
      <c r="C17" s="10" t="s">
        <v>5</v>
      </c>
      <c r="D17" s="57"/>
      <c r="E17" s="58"/>
      <c r="F17" s="14">
        <f>P44+P50</f>
        <v>179780.32795575605</v>
      </c>
      <c r="G17" s="7"/>
      <c r="H17" s="11">
        <f>P52</f>
        <v>0</v>
      </c>
      <c r="I17" s="7"/>
      <c r="J17" s="14">
        <f>J15+18637.28</f>
        <v>38051.089999999997</v>
      </c>
      <c r="K17" s="7"/>
      <c r="L17" s="11">
        <f>(D8*L20*6)+(D8*L21*6)</f>
        <v>428747.55660000001</v>
      </c>
      <c r="M17" s="7"/>
      <c r="N17" s="14">
        <f>'1'!N17</f>
        <v>11336.326999999999</v>
      </c>
      <c r="O17" s="7"/>
      <c r="P17" s="61">
        <f>P15+Q15+114670.71</f>
        <v>130841.67000000001</v>
      </c>
      <c r="Q17" s="62"/>
      <c r="R17" s="61">
        <f>R15+S15</f>
        <v>100330.43</v>
      </c>
      <c r="S17" s="62"/>
      <c r="T17" s="61">
        <f>T15+U15</f>
        <v>37800.32</v>
      </c>
      <c r="U17" s="58"/>
      <c r="V17" s="21">
        <f>F17+H17+J17+L17+N17+P17+Q17+R17+S17+T17+U17</f>
        <v>926887.72155575606</v>
      </c>
    </row>
    <row r="18" spans="2:22" ht="31.5" x14ac:dyDescent="0.25">
      <c r="C18" s="10" t="str">
        <f>'1'!C18</f>
        <v>Текущий остаток (задолженность (-), переплата (+)) на 31.12.2016 г.</v>
      </c>
      <c r="D18" s="57"/>
      <c r="E18" s="58"/>
      <c r="F18" s="33">
        <f>F16-F15+F14</f>
        <v>-29216.779999999984</v>
      </c>
      <c r="G18" s="32"/>
      <c r="H18" s="31">
        <f>H16-H15+H14</f>
        <v>0</v>
      </c>
      <c r="I18" s="40"/>
      <c r="J18" s="31">
        <f>J16-J15+J14</f>
        <v>-4005.9300000000003</v>
      </c>
      <c r="K18" s="40"/>
      <c r="L18" s="31">
        <f>L16-L15+L14</f>
        <v>-80098.239999999962</v>
      </c>
      <c r="M18" s="32"/>
      <c r="N18" s="31">
        <f>N16-N15+N14</f>
        <v>1853.2399999999998</v>
      </c>
      <c r="O18" s="32"/>
      <c r="P18" s="55">
        <f t="shared" ref="P18:V18" si="0">P16-P15+P14</f>
        <v>-2131.4299999999994</v>
      </c>
      <c r="Q18" s="56"/>
      <c r="R18" s="55">
        <f t="shared" si="0"/>
        <v>-23828.549999999992</v>
      </c>
      <c r="S18" s="56"/>
      <c r="T18" s="55">
        <f t="shared" si="0"/>
        <v>-10006.490000000005</v>
      </c>
      <c r="U18" s="56"/>
      <c r="V18" s="31">
        <f t="shared" si="0"/>
        <v>-147434.17999999976</v>
      </c>
    </row>
    <row r="19" spans="2:22" x14ac:dyDescent="0.25">
      <c r="C19" s="9" t="s">
        <v>6</v>
      </c>
      <c r="D19" s="57"/>
      <c r="E19" s="58"/>
      <c r="F19" s="11"/>
      <c r="G19" s="7"/>
      <c r="H19" s="11"/>
      <c r="I19" s="7"/>
      <c r="J19" s="11"/>
      <c r="K19" s="7"/>
      <c r="L19" s="11"/>
      <c r="M19" s="7"/>
      <c r="N19" s="11"/>
      <c r="O19" s="7"/>
      <c r="P19" s="57"/>
      <c r="Q19" s="58"/>
      <c r="R19" s="57"/>
      <c r="S19" s="58"/>
      <c r="T19" s="57"/>
      <c r="U19" s="58"/>
      <c r="V19" s="30">
        <f>F18+H18+J18+L18+N18+P18+Q18+R18+S18+T18+U18</f>
        <v>-147434.17999999993</v>
      </c>
    </row>
    <row r="20" spans="2:22" x14ac:dyDescent="0.25">
      <c r="C20" s="9" t="str">
        <f>'1'!C20</f>
        <v>Тариф (руб/м²), 1-е полугодие</v>
      </c>
      <c r="D20" s="57"/>
      <c r="E20" s="58"/>
      <c r="F20" s="13">
        <f>'1'!F20</f>
        <v>15.31</v>
      </c>
      <c r="G20" s="7"/>
      <c r="H20" s="13">
        <f>'1'!H20</f>
        <v>37.700000000000003</v>
      </c>
      <c r="I20" s="7"/>
      <c r="J20" s="13">
        <f>'1'!J20</f>
        <v>44.32</v>
      </c>
      <c r="K20" s="7"/>
      <c r="L20" s="11">
        <v>39.520000000000003</v>
      </c>
      <c r="M20" s="7"/>
      <c r="N20" s="11">
        <f>'1'!N20</f>
        <v>50</v>
      </c>
      <c r="O20" s="7"/>
      <c r="P20" s="57" t="str">
        <f>'1'!P20</f>
        <v xml:space="preserve">15,02 руб./м3 </v>
      </c>
      <c r="Q20" s="58"/>
      <c r="R20" s="57" t="str">
        <f>'1'!R20</f>
        <v>99,55 руб./м3</v>
      </c>
      <c r="S20" s="58"/>
      <c r="T20" s="57" t="str">
        <f>'1'!T20</f>
        <v>18,66 руб./м3</v>
      </c>
      <c r="U20" s="58"/>
      <c r="V20" s="11"/>
    </row>
    <row r="21" spans="2:22" x14ac:dyDescent="0.25">
      <c r="C21" s="9" t="str">
        <f>'1'!C21</f>
        <v>Тариф (руб/м²), 2-е полугодие</v>
      </c>
      <c r="D21" s="50"/>
      <c r="E21" s="51"/>
      <c r="F21" s="21">
        <f>'1'!F21</f>
        <v>15.31</v>
      </c>
      <c r="G21" s="7"/>
      <c r="H21" s="21"/>
      <c r="I21" s="7"/>
      <c r="J21" s="21">
        <f>'1'!J21</f>
        <v>44.32</v>
      </c>
      <c r="K21" s="7"/>
      <c r="L21" s="21">
        <f>'4'!L21</f>
        <v>40.65</v>
      </c>
      <c r="M21" s="7"/>
      <c r="N21" s="21">
        <f>'1'!N21</f>
        <v>50</v>
      </c>
      <c r="O21" s="7"/>
      <c r="P21" s="57" t="str">
        <f>'1'!P21:Q21</f>
        <v>15,63 руб./м³</v>
      </c>
      <c r="Q21" s="58"/>
      <c r="R21" s="57" t="str">
        <f>'1'!R21:S21</f>
        <v>102,59 руб./м³</v>
      </c>
      <c r="S21" s="58"/>
      <c r="T21" s="57" t="str">
        <f>'1'!T21:U21</f>
        <v>19,41 руб./м³</v>
      </c>
      <c r="U21" s="58"/>
      <c r="V21" s="21"/>
    </row>
    <row r="22" spans="2:22" x14ac:dyDescent="0.25">
      <c r="C22" s="9" t="s">
        <v>44</v>
      </c>
      <c r="D22" s="57"/>
      <c r="E22" s="58"/>
      <c r="F22" s="18">
        <f>N44+N50</f>
        <v>16.808246099999998</v>
      </c>
      <c r="G22" s="7"/>
      <c r="H22" s="11"/>
      <c r="I22" s="7"/>
      <c r="J22" s="11"/>
      <c r="K22" s="7"/>
      <c r="L22" s="11"/>
      <c r="M22" s="7"/>
      <c r="N22" s="11"/>
      <c r="O22" s="7"/>
      <c r="P22" s="57"/>
      <c r="Q22" s="58"/>
      <c r="R22" s="57"/>
      <c r="S22" s="58"/>
      <c r="T22" s="57"/>
      <c r="U22" s="58"/>
      <c r="V22" s="11"/>
    </row>
    <row r="24" spans="2:22" x14ac:dyDescent="0.25">
      <c r="C24" s="5" t="s">
        <v>11</v>
      </c>
    </row>
    <row r="25" spans="2:22" x14ac:dyDescent="0.25">
      <c r="C25" s="1" t="s">
        <v>12</v>
      </c>
      <c r="J25" s="34">
        <f>V19/V15*100</f>
        <v>-19.050413124981326</v>
      </c>
      <c r="K25" s="35" t="s">
        <v>37</v>
      </c>
    </row>
    <row r="28" spans="2:22" ht="33" customHeight="1" x14ac:dyDescent="0.25">
      <c r="B28" s="27" t="s">
        <v>13</v>
      </c>
      <c r="C28" s="72" t="s">
        <v>14</v>
      </c>
      <c r="D28" s="72"/>
      <c r="E28" s="72"/>
      <c r="F28" s="72"/>
      <c r="G28" s="72"/>
      <c r="H28" s="72"/>
      <c r="I28" s="72"/>
      <c r="J28" s="72"/>
      <c r="K28" s="72"/>
      <c r="L28" s="73" t="s">
        <v>45</v>
      </c>
      <c r="M28" s="73"/>
      <c r="N28" s="73" t="s">
        <v>46</v>
      </c>
      <c r="O28" s="73"/>
      <c r="P28" s="27" t="s">
        <v>28</v>
      </c>
    </row>
    <row r="29" spans="2:22" x14ac:dyDescent="0.25">
      <c r="B29" s="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4"/>
    </row>
    <row r="30" spans="2:22" x14ac:dyDescent="0.25">
      <c r="B30" s="90" t="s">
        <v>7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</row>
    <row r="31" spans="2:22" x14ac:dyDescent="0.25">
      <c r="B31" s="4">
        <v>1</v>
      </c>
      <c r="C31" s="76" t="s">
        <v>15</v>
      </c>
      <c r="D31" s="76"/>
      <c r="E31" s="76"/>
      <c r="F31" s="76"/>
      <c r="G31" s="76"/>
      <c r="H31" s="76"/>
      <c r="I31" s="76"/>
      <c r="J31" s="76"/>
      <c r="K31" s="76"/>
      <c r="L31" s="74">
        <v>891.33</v>
      </c>
      <c r="M31" s="74"/>
      <c r="N31" s="77">
        <f>'1'!N31:O31</f>
        <v>3.5</v>
      </c>
      <c r="O31" s="77"/>
      <c r="P31" s="17">
        <f>L31*N31*12</f>
        <v>37435.86</v>
      </c>
    </row>
    <row r="32" spans="2:22" x14ac:dyDescent="0.25">
      <c r="B32" s="4">
        <v>2</v>
      </c>
      <c r="C32" s="76" t="s">
        <v>34</v>
      </c>
      <c r="D32" s="76"/>
      <c r="E32" s="76"/>
      <c r="F32" s="76"/>
      <c r="G32" s="76"/>
      <c r="H32" s="76"/>
      <c r="I32" s="76"/>
      <c r="J32" s="76"/>
      <c r="K32" s="76"/>
      <c r="L32" s="74">
        <v>891.33</v>
      </c>
      <c r="M32" s="74"/>
      <c r="N32" s="77">
        <f>'1'!N32:O32</f>
        <v>0.98752150000000005</v>
      </c>
      <c r="O32" s="77"/>
      <c r="P32" s="17">
        <f t="shared" ref="P32:P43" si="1">L32*N32*12</f>
        <v>10562.49046314</v>
      </c>
    </row>
    <row r="33" spans="2:16" x14ac:dyDescent="0.25">
      <c r="B33" s="4">
        <v>3</v>
      </c>
      <c r="C33" s="76" t="s">
        <v>16</v>
      </c>
      <c r="D33" s="76"/>
      <c r="E33" s="76"/>
      <c r="F33" s="76"/>
      <c r="G33" s="76"/>
      <c r="H33" s="76"/>
      <c r="I33" s="76"/>
      <c r="J33" s="76"/>
      <c r="K33" s="76"/>
      <c r="L33" s="74">
        <v>891.33</v>
      </c>
      <c r="M33" s="74"/>
      <c r="N33" s="77">
        <f>'1'!N33:O33</f>
        <v>2.8257476000000001</v>
      </c>
      <c r="O33" s="77"/>
      <c r="P33" s="17">
        <f t="shared" si="1"/>
        <v>30224.083299696005</v>
      </c>
    </row>
    <row r="34" spans="2:16" x14ac:dyDescent="0.25">
      <c r="B34" s="4">
        <v>4</v>
      </c>
      <c r="C34" s="76" t="s">
        <v>17</v>
      </c>
      <c r="D34" s="76"/>
      <c r="E34" s="76"/>
      <c r="F34" s="76"/>
      <c r="G34" s="76"/>
      <c r="H34" s="76"/>
      <c r="I34" s="76"/>
      <c r="J34" s="76"/>
      <c r="K34" s="76"/>
      <c r="L34" s="74">
        <v>891.33</v>
      </c>
      <c r="M34" s="74"/>
      <c r="N34" s="77">
        <f>'1'!N34:O34</f>
        <v>1</v>
      </c>
      <c r="O34" s="77"/>
      <c r="P34" s="17">
        <f t="shared" si="1"/>
        <v>10695.960000000001</v>
      </c>
    </row>
    <row r="35" spans="2:16" x14ac:dyDescent="0.25">
      <c r="B35" s="4">
        <v>5</v>
      </c>
      <c r="C35" s="76" t="s">
        <v>18</v>
      </c>
      <c r="D35" s="76"/>
      <c r="E35" s="76"/>
      <c r="F35" s="76"/>
      <c r="G35" s="76"/>
      <c r="H35" s="76"/>
      <c r="I35" s="76"/>
      <c r="J35" s="76"/>
      <c r="K35" s="76"/>
      <c r="L35" s="74">
        <v>891.33</v>
      </c>
      <c r="M35" s="74"/>
      <c r="N35" s="77">
        <f>'1'!N35:O35</f>
        <v>2</v>
      </c>
      <c r="O35" s="77"/>
      <c r="P35" s="17">
        <f t="shared" si="1"/>
        <v>21391.920000000002</v>
      </c>
    </row>
    <row r="36" spans="2:16" x14ac:dyDescent="0.25">
      <c r="B36" s="4">
        <v>6</v>
      </c>
      <c r="C36" s="76" t="s">
        <v>24</v>
      </c>
      <c r="D36" s="76"/>
      <c r="E36" s="76"/>
      <c r="F36" s="76"/>
      <c r="G36" s="76"/>
      <c r="H36" s="76"/>
      <c r="I36" s="76"/>
      <c r="J36" s="76"/>
      <c r="K36" s="76"/>
      <c r="L36" s="74">
        <v>891.33</v>
      </c>
      <c r="M36" s="74"/>
      <c r="N36" s="77">
        <f>'1'!N36:O36</f>
        <v>3</v>
      </c>
      <c r="O36" s="77"/>
      <c r="P36" s="17">
        <f t="shared" si="1"/>
        <v>32087.880000000005</v>
      </c>
    </row>
    <row r="37" spans="2:16" x14ac:dyDescent="0.25">
      <c r="B37" s="4">
        <v>7</v>
      </c>
      <c r="C37" s="76" t="s">
        <v>19</v>
      </c>
      <c r="D37" s="76"/>
      <c r="E37" s="76"/>
      <c r="F37" s="76"/>
      <c r="G37" s="76"/>
      <c r="H37" s="76"/>
      <c r="I37" s="76"/>
      <c r="J37" s="76"/>
      <c r="K37" s="76"/>
      <c r="L37" s="74">
        <v>891.33</v>
      </c>
      <c r="M37" s="74"/>
      <c r="N37" s="77">
        <f>'1'!N37:O37</f>
        <v>0.5</v>
      </c>
      <c r="O37" s="77"/>
      <c r="P37" s="17">
        <f t="shared" si="1"/>
        <v>5347.9800000000005</v>
      </c>
    </row>
    <row r="38" spans="2:16" x14ac:dyDescent="0.25">
      <c r="B38" s="4">
        <v>8</v>
      </c>
      <c r="C38" s="76" t="s">
        <v>20</v>
      </c>
      <c r="D38" s="76"/>
      <c r="E38" s="76"/>
      <c r="F38" s="76"/>
      <c r="G38" s="76"/>
      <c r="H38" s="76"/>
      <c r="I38" s="76"/>
      <c r="J38" s="76"/>
      <c r="K38" s="76"/>
      <c r="L38" s="74">
        <v>891.33</v>
      </c>
      <c r="M38" s="74"/>
      <c r="N38" s="77">
        <f>'1'!N38:O38</f>
        <v>1.694977</v>
      </c>
      <c r="O38" s="77"/>
      <c r="P38" s="17">
        <f t="shared" si="1"/>
        <v>18129.406192920003</v>
      </c>
    </row>
    <row r="39" spans="2:16" x14ac:dyDescent="0.25">
      <c r="B39" s="4">
        <v>9</v>
      </c>
      <c r="C39" s="76" t="s">
        <v>84</v>
      </c>
      <c r="D39" s="76"/>
      <c r="E39" s="76"/>
      <c r="F39" s="76"/>
      <c r="G39" s="76"/>
      <c r="H39" s="76"/>
      <c r="I39" s="76"/>
      <c r="J39" s="76"/>
      <c r="K39" s="76"/>
      <c r="L39" s="74">
        <v>891.33</v>
      </c>
      <c r="M39" s="74"/>
      <c r="N39" s="77">
        <f>'1'!N39:O39</f>
        <v>0.1</v>
      </c>
      <c r="O39" s="77"/>
      <c r="P39" s="17">
        <f t="shared" si="1"/>
        <v>1069.596</v>
      </c>
    </row>
    <row r="40" spans="2:16" x14ac:dyDescent="0.25">
      <c r="B40" s="4">
        <v>10</v>
      </c>
      <c r="C40" s="76" t="s">
        <v>21</v>
      </c>
      <c r="D40" s="76"/>
      <c r="E40" s="76"/>
      <c r="F40" s="76"/>
      <c r="G40" s="76"/>
      <c r="H40" s="76"/>
      <c r="I40" s="76"/>
      <c r="J40" s="76"/>
      <c r="K40" s="76"/>
      <c r="L40" s="74">
        <v>891.33</v>
      </c>
      <c r="M40" s="74"/>
      <c r="N40" s="77">
        <f>'1'!N40:O40</f>
        <v>0.2</v>
      </c>
      <c r="O40" s="77"/>
      <c r="P40" s="17">
        <f t="shared" si="1"/>
        <v>2139.192</v>
      </c>
    </row>
    <row r="41" spans="2:16" x14ac:dyDescent="0.25">
      <c r="B41" s="4">
        <v>11</v>
      </c>
      <c r="C41" s="76" t="s">
        <v>22</v>
      </c>
      <c r="D41" s="76"/>
      <c r="E41" s="76"/>
      <c r="F41" s="76"/>
      <c r="G41" s="76"/>
      <c r="H41" s="76"/>
      <c r="I41" s="76"/>
      <c r="J41" s="76"/>
      <c r="K41" s="76"/>
      <c r="L41" s="74">
        <v>891.33</v>
      </c>
      <c r="M41" s="74"/>
      <c r="N41" s="77">
        <f>'1'!N41:O41</f>
        <v>0.5</v>
      </c>
      <c r="O41" s="77"/>
      <c r="P41" s="17">
        <f t="shared" si="1"/>
        <v>5347.9800000000005</v>
      </c>
    </row>
    <row r="42" spans="2:16" hidden="1" x14ac:dyDescent="0.25">
      <c r="B42" s="4">
        <v>12</v>
      </c>
      <c r="C42" s="76" t="s">
        <v>23</v>
      </c>
      <c r="D42" s="76"/>
      <c r="E42" s="76"/>
      <c r="F42" s="76"/>
      <c r="G42" s="76"/>
      <c r="H42" s="76"/>
      <c r="I42" s="76"/>
      <c r="J42" s="76"/>
      <c r="K42" s="76"/>
      <c r="L42" s="74">
        <v>891.33</v>
      </c>
      <c r="M42" s="74"/>
      <c r="N42" s="77">
        <f>'1'!N42:O42</f>
        <v>0</v>
      </c>
      <c r="O42" s="77"/>
      <c r="P42" s="17">
        <f t="shared" si="1"/>
        <v>0</v>
      </c>
    </row>
    <row r="43" spans="2:16" x14ac:dyDescent="0.25">
      <c r="B43" s="4">
        <v>12</v>
      </c>
      <c r="C43" s="76" t="s">
        <v>25</v>
      </c>
      <c r="D43" s="76"/>
      <c r="E43" s="76"/>
      <c r="F43" s="76"/>
      <c r="G43" s="76"/>
      <c r="H43" s="76"/>
      <c r="I43" s="76"/>
      <c r="J43" s="76"/>
      <c r="K43" s="76"/>
      <c r="L43" s="74">
        <v>891.33</v>
      </c>
      <c r="M43" s="74"/>
      <c r="N43" s="77">
        <f>'1'!N43:O43</f>
        <v>0.5</v>
      </c>
      <c r="O43" s="77"/>
      <c r="P43" s="17">
        <f t="shared" si="1"/>
        <v>5347.9800000000005</v>
      </c>
    </row>
    <row r="44" spans="2:16" x14ac:dyDescent="0.25">
      <c r="B44" s="38"/>
      <c r="C44" s="78" t="s">
        <v>26</v>
      </c>
      <c r="D44" s="78"/>
      <c r="E44" s="78"/>
      <c r="F44" s="78"/>
      <c r="G44" s="78"/>
      <c r="H44" s="78"/>
      <c r="I44" s="78"/>
      <c r="J44" s="78"/>
      <c r="K44" s="78"/>
      <c r="L44" s="79">
        <v>891.33</v>
      </c>
      <c r="M44" s="79"/>
      <c r="N44" s="91">
        <f>SUM(N31:O43)</f>
        <v>16.808246099999998</v>
      </c>
      <c r="O44" s="91"/>
      <c r="P44" s="39">
        <f>SUM(P31:P43)</f>
        <v>179780.32795575605</v>
      </c>
    </row>
    <row r="45" spans="2:16" hidden="1" x14ac:dyDescent="0.25">
      <c r="B45" s="90" t="s">
        <v>27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</row>
    <row r="46" spans="2:16" hidden="1" x14ac:dyDescent="0.25">
      <c r="B46" s="4">
        <v>1</v>
      </c>
      <c r="C46" s="82" t="s">
        <v>73</v>
      </c>
      <c r="D46" s="83"/>
      <c r="E46" s="83"/>
      <c r="F46" s="83"/>
      <c r="G46" s="83"/>
      <c r="H46" s="83"/>
      <c r="I46" s="83"/>
      <c r="J46" s="83"/>
      <c r="K46" s="84"/>
      <c r="L46" s="74">
        <v>891.33</v>
      </c>
      <c r="M46" s="74"/>
      <c r="N46" s="74"/>
      <c r="O46" s="74"/>
      <c r="P46" s="17">
        <f>L46*N46*6</f>
        <v>0</v>
      </c>
    </row>
    <row r="47" spans="2:16" hidden="1" x14ac:dyDescent="0.25">
      <c r="B47" s="4">
        <v>2</v>
      </c>
      <c r="C47" s="82" t="s">
        <v>74</v>
      </c>
      <c r="D47" s="83"/>
      <c r="E47" s="83"/>
      <c r="F47" s="83"/>
      <c r="G47" s="83"/>
      <c r="H47" s="83"/>
      <c r="I47" s="83"/>
      <c r="J47" s="83"/>
      <c r="K47" s="84"/>
      <c r="L47" s="74">
        <v>891.33</v>
      </c>
      <c r="M47" s="74"/>
      <c r="N47" s="74"/>
      <c r="O47" s="74"/>
      <c r="P47" s="17">
        <f t="shared" ref="P47:P49" si="2">L47*N47*6</f>
        <v>0</v>
      </c>
    </row>
    <row r="48" spans="2:16" hidden="1" x14ac:dyDescent="0.25">
      <c r="B48" s="4">
        <v>3</v>
      </c>
      <c r="C48" s="74"/>
      <c r="D48" s="74"/>
      <c r="E48" s="74"/>
      <c r="F48" s="74"/>
      <c r="G48" s="74"/>
      <c r="H48" s="74"/>
      <c r="I48" s="74"/>
      <c r="J48" s="74"/>
      <c r="K48" s="74"/>
      <c r="L48" s="74">
        <v>891.33</v>
      </c>
      <c r="M48" s="74"/>
      <c r="N48" s="74"/>
      <c r="O48" s="74"/>
      <c r="P48" s="17">
        <f t="shared" si="2"/>
        <v>0</v>
      </c>
    </row>
    <row r="49" spans="2:16" hidden="1" x14ac:dyDescent="0.25">
      <c r="B49" s="4">
        <v>4</v>
      </c>
      <c r="C49" s="74"/>
      <c r="D49" s="74"/>
      <c r="E49" s="74"/>
      <c r="F49" s="74"/>
      <c r="G49" s="74"/>
      <c r="H49" s="74"/>
      <c r="I49" s="74"/>
      <c r="J49" s="74"/>
      <c r="K49" s="74"/>
      <c r="L49" s="74">
        <v>891.33</v>
      </c>
      <c r="M49" s="74"/>
      <c r="N49" s="74"/>
      <c r="O49" s="74"/>
      <c r="P49" s="17">
        <f t="shared" si="2"/>
        <v>0</v>
      </c>
    </row>
    <row r="50" spans="2:16" hidden="1" x14ac:dyDescent="0.25">
      <c r="B50" s="38"/>
      <c r="C50" s="86" t="s">
        <v>29</v>
      </c>
      <c r="D50" s="87"/>
      <c r="E50" s="87"/>
      <c r="F50" s="87"/>
      <c r="G50" s="87"/>
      <c r="H50" s="87"/>
      <c r="I50" s="87"/>
      <c r="J50" s="87"/>
      <c r="K50" s="88"/>
      <c r="L50" s="79">
        <v>891.33</v>
      </c>
      <c r="M50" s="79"/>
      <c r="N50" s="79">
        <f>SUM(N46:O49)</f>
        <v>0</v>
      </c>
      <c r="O50" s="79"/>
      <c r="P50" s="39">
        <f>SUM(P46:P49)</f>
        <v>0</v>
      </c>
    </row>
    <row r="51" spans="2:16" hidden="1" x14ac:dyDescent="0.25">
      <c r="B51" s="90" t="s">
        <v>30</v>
      </c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</row>
    <row r="52" spans="2:16" hidden="1" x14ac:dyDescent="0.25">
      <c r="B52" s="38"/>
      <c r="C52" s="86" t="s">
        <v>31</v>
      </c>
      <c r="D52" s="87"/>
      <c r="E52" s="87"/>
      <c r="F52" s="87"/>
      <c r="G52" s="87"/>
      <c r="H52" s="87"/>
      <c r="I52" s="87"/>
      <c r="J52" s="87"/>
      <c r="K52" s="88"/>
      <c r="L52" s="79">
        <v>891.33</v>
      </c>
      <c r="M52" s="79"/>
      <c r="N52" s="79">
        <v>0</v>
      </c>
      <c r="O52" s="79"/>
      <c r="P52" s="38">
        <v>0</v>
      </c>
    </row>
    <row r="55" spans="2:16" x14ac:dyDescent="0.25">
      <c r="C55" s="1" t="s">
        <v>38</v>
      </c>
    </row>
    <row r="56" spans="2:16" x14ac:dyDescent="0.25">
      <c r="C56" s="1" t="s">
        <v>39</v>
      </c>
    </row>
    <row r="57" spans="2:16" x14ac:dyDescent="0.25">
      <c r="C57" s="4" t="s">
        <v>93</v>
      </c>
      <c r="D57" s="22">
        <f>N44</f>
        <v>16.808246099999998</v>
      </c>
    </row>
    <row r="60" spans="2:16" x14ac:dyDescent="0.25">
      <c r="C60" s="1" t="s">
        <v>40</v>
      </c>
      <c r="D60" s="2"/>
      <c r="E60" s="2"/>
      <c r="F60" s="2"/>
      <c r="G60" s="2"/>
      <c r="J60" s="1" t="s">
        <v>41</v>
      </c>
    </row>
    <row r="63" spans="2:16" ht="24.75" customHeight="1" x14ac:dyDescent="0.25">
      <c r="C63" s="1" t="s">
        <v>42</v>
      </c>
      <c r="D63" s="2"/>
      <c r="E63" s="2"/>
      <c r="F63" s="1" t="s">
        <v>43</v>
      </c>
    </row>
    <row r="64" spans="2:16" ht="25.5" customHeight="1" x14ac:dyDescent="0.25">
      <c r="D64" s="2"/>
      <c r="E64" s="2"/>
      <c r="F64" s="1" t="s">
        <v>43</v>
      </c>
    </row>
    <row r="65" spans="4:6" ht="24.75" customHeight="1" x14ac:dyDescent="0.25">
      <c r="D65" s="2"/>
      <c r="E65" s="2"/>
      <c r="F65" s="1" t="s">
        <v>43</v>
      </c>
    </row>
  </sheetData>
  <mergeCells count="115">
    <mergeCell ref="B51:P51"/>
    <mergeCell ref="C52:K52"/>
    <mergeCell ref="L52:M52"/>
    <mergeCell ref="N52:O52"/>
    <mergeCell ref="C49:K49"/>
    <mergeCell ref="L49:M49"/>
    <mergeCell ref="N49:O49"/>
    <mergeCell ref="C50:K50"/>
    <mergeCell ref="L50:M50"/>
    <mergeCell ref="N50:O50"/>
    <mergeCell ref="B45:P45"/>
    <mergeCell ref="C46:K46"/>
    <mergeCell ref="L46:M46"/>
    <mergeCell ref="N46:O46"/>
    <mergeCell ref="C47:K47"/>
    <mergeCell ref="L47:M47"/>
    <mergeCell ref="N47:O47"/>
    <mergeCell ref="C48:K48"/>
    <mergeCell ref="L48:M48"/>
    <mergeCell ref="N48:O48"/>
    <mergeCell ref="C42:K42"/>
    <mergeCell ref="L42:M42"/>
    <mergeCell ref="N42:O42"/>
    <mergeCell ref="C43:K43"/>
    <mergeCell ref="L43:M43"/>
    <mergeCell ref="N43:O43"/>
    <mergeCell ref="C44:K44"/>
    <mergeCell ref="L44:M44"/>
    <mergeCell ref="N44:O44"/>
    <mergeCell ref="C39:K39"/>
    <mergeCell ref="L39:M39"/>
    <mergeCell ref="N39:O39"/>
    <mergeCell ref="C40:K40"/>
    <mergeCell ref="L40:M40"/>
    <mergeCell ref="N40:O40"/>
    <mergeCell ref="C41:K41"/>
    <mergeCell ref="L41:M41"/>
    <mergeCell ref="N41:O41"/>
    <mergeCell ref="C36:K36"/>
    <mergeCell ref="L36:M36"/>
    <mergeCell ref="N36:O36"/>
    <mergeCell ref="C37:K37"/>
    <mergeCell ref="L37:M37"/>
    <mergeCell ref="N37:O37"/>
    <mergeCell ref="C38:K38"/>
    <mergeCell ref="L38:M38"/>
    <mergeCell ref="N38:O38"/>
    <mergeCell ref="C33:K33"/>
    <mergeCell ref="L33:M33"/>
    <mergeCell ref="N33:O33"/>
    <mergeCell ref="C34:K34"/>
    <mergeCell ref="L34:M34"/>
    <mergeCell ref="N34:O34"/>
    <mergeCell ref="C35:K35"/>
    <mergeCell ref="L35:M35"/>
    <mergeCell ref="N35:O35"/>
    <mergeCell ref="C29:K29"/>
    <mergeCell ref="L29:M29"/>
    <mergeCell ref="N29:O29"/>
    <mergeCell ref="B30:P30"/>
    <mergeCell ref="C31:K31"/>
    <mergeCell ref="L31:M31"/>
    <mergeCell ref="N31:O31"/>
    <mergeCell ref="C32:K32"/>
    <mergeCell ref="L32:M32"/>
    <mergeCell ref="N32:O32"/>
    <mergeCell ref="C28:K28"/>
    <mergeCell ref="L28:M28"/>
    <mergeCell ref="N28:O28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2:E22"/>
    <mergeCell ref="B2:V2"/>
    <mergeCell ref="B3:V3"/>
    <mergeCell ref="B4:V4"/>
    <mergeCell ref="P12:Q12"/>
    <mergeCell ref="R12:S12"/>
    <mergeCell ref="T12:U12"/>
    <mergeCell ref="P13:Q13"/>
    <mergeCell ref="P14:Q14"/>
    <mergeCell ref="P15:Q15"/>
    <mergeCell ref="T13:U13"/>
    <mergeCell ref="T14:U14"/>
    <mergeCell ref="T15:U15"/>
    <mergeCell ref="R13:S13"/>
    <mergeCell ref="R14:S14"/>
    <mergeCell ref="R15:S15"/>
    <mergeCell ref="R16:S16"/>
    <mergeCell ref="R18:S18"/>
    <mergeCell ref="R19:S19"/>
    <mergeCell ref="R20:S20"/>
    <mergeCell ref="R22:S22"/>
    <mergeCell ref="P17:Q17"/>
    <mergeCell ref="R17:S17"/>
    <mergeCell ref="P16:Q16"/>
    <mergeCell ref="T16:U16"/>
    <mergeCell ref="T18:U18"/>
    <mergeCell ref="T19:U19"/>
    <mergeCell ref="T20:U20"/>
    <mergeCell ref="T22:U22"/>
    <mergeCell ref="P18:Q18"/>
    <mergeCell ref="P19:Q19"/>
    <mergeCell ref="P20:Q20"/>
    <mergeCell ref="P22:Q22"/>
    <mergeCell ref="T17:U17"/>
    <mergeCell ref="P21:Q21"/>
    <mergeCell ref="R21:S21"/>
    <mergeCell ref="T21:U21"/>
  </mergeCells>
  <pageMargins left="0.25" right="0.25" top="0.75" bottom="0.75" header="0.3" footer="0.3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B1:V65"/>
  <sheetViews>
    <sheetView view="pageBreakPreview" topLeftCell="A10" zoomScale="84" zoomScaleNormal="84" zoomScaleSheetLayoutView="84" workbookViewId="0">
      <selection activeCell="L17" sqref="L17"/>
    </sheetView>
  </sheetViews>
  <sheetFormatPr defaultRowHeight="15.75" x14ac:dyDescent="0.25"/>
  <cols>
    <col min="1" max="1" width="2.85546875" style="1" customWidth="1"/>
    <col min="2" max="2" width="4" style="1" bestFit="1" customWidth="1"/>
    <col min="3" max="3" width="36.28515625" style="1" customWidth="1"/>
    <col min="4" max="4" width="13.28515625" style="1" customWidth="1"/>
    <col min="5" max="5" width="11.7109375" style="1" customWidth="1"/>
    <col min="6" max="6" width="10.140625" style="1" customWidth="1"/>
    <col min="7" max="7" width="1.5703125" style="1" hidden="1" customWidth="1"/>
    <col min="8" max="8" width="12.5703125" style="1" hidden="1" customWidth="1"/>
    <col min="9" max="9" width="1.5703125" style="1" customWidth="1"/>
    <col min="10" max="10" width="11.140625" style="1" customWidth="1"/>
    <col min="11" max="11" width="2.28515625" style="1" customWidth="1"/>
    <col min="12" max="12" width="11.28515625" style="1" bestFit="1" customWidth="1"/>
    <col min="13" max="13" width="1.5703125" style="1" customWidth="1"/>
    <col min="14" max="14" width="15.7109375" style="1" customWidth="1"/>
    <col min="15" max="15" width="1.7109375" style="1" customWidth="1"/>
    <col min="16" max="16" width="12" style="1" customWidth="1"/>
    <col min="17" max="17" width="10.28515625" style="1" customWidth="1"/>
    <col min="18" max="18" width="11.42578125" style="1" customWidth="1"/>
    <col min="19" max="19" width="10.28515625" style="1" customWidth="1"/>
    <col min="20" max="20" width="14.85546875" style="1" customWidth="1"/>
    <col min="21" max="21" width="10.85546875" style="1" customWidth="1"/>
    <col min="22" max="22" width="11" style="1" customWidth="1"/>
    <col min="23" max="16384" width="9.140625" style="1"/>
  </cols>
  <sheetData>
    <row r="1" spans="2:22" ht="16.5" thickBot="1" x14ac:dyDescent="0.3"/>
    <row r="2" spans="2:22" x14ac:dyDescent="0.25">
      <c r="B2" s="63" t="s">
        <v>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5"/>
    </row>
    <row r="3" spans="2:22" x14ac:dyDescent="0.25">
      <c r="B3" s="66" t="str">
        <f>'1'!B3:V3</f>
        <v>с 1.01.2016 по 31.12.2016 г.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/>
    </row>
    <row r="4" spans="2:22" ht="16.5" thickBot="1" x14ac:dyDescent="0.3">
      <c r="B4" s="69" t="s">
        <v>32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1"/>
    </row>
    <row r="5" spans="2:22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2:22" x14ac:dyDescent="0.25">
      <c r="C6" s="29" t="s">
        <v>51</v>
      </c>
    </row>
    <row r="8" spans="2:22" x14ac:dyDescent="0.25">
      <c r="C8" s="1" t="s">
        <v>33</v>
      </c>
      <c r="D8" s="2">
        <v>911.41</v>
      </c>
    </row>
    <row r="9" spans="2:22" x14ac:dyDescent="0.25">
      <c r="C9" s="1" t="s">
        <v>35</v>
      </c>
      <c r="D9" s="3">
        <v>45</v>
      </c>
    </row>
    <row r="10" spans="2:22" x14ac:dyDescent="0.25">
      <c r="C10" s="1" t="s">
        <v>36</v>
      </c>
      <c r="D10" s="3">
        <v>19</v>
      </c>
    </row>
    <row r="12" spans="2:22" ht="63" x14ac:dyDescent="0.25">
      <c r="C12" s="27" t="s">
        <v>1</v>
      </c>
      <c r="D12" s="59" t="str">
        <f>'1'!D12:E12</f>
        <v>Содержание общего имущества дома</v>
      </c>
      <c r="E12" s="60"/>
      <c r="F12" s="27" t="s">
        <v>8</v>
      </c>
      <c r="G12" s="7"/>
      <c r="H12" s="27" t="s">
        <v>9</v>
      </c>
      <c r="I12" s="7"/>
      <c r="J12" s="28" t="str">
        <f>'1'!J12</f>
        <v>Вывоз ТБО (руб./чел.)</v>
      </c>
      <c r="K12" s="7"/>
      <c r="L12" s="28" t="s">
        <v>67</v>
      </c>
      <c r="M12" s="7"/>
      <c r="N12" s="28" t="str">
        <f>'1'!N12</f>
        <v>Обслуживание антены (руб./лиц.сч.)</v>
      </c>
      <c r="O12" s="8"/>
      <c r="P12" s="59" t="str">
        <f>'1'!P12</f>
        <v xml:space="preserve">Хол. вода </v>
      </c>
      <c r="Q12" s="60"/>
      <c r="R12" s="59" t="str">
        <f>'1'!R12</f>
        <v xml:space="preserve">Гор. вода </v>
      </c>
      <c r="S12" s="60"/>
      <c r="T12" s="59" t="str">
        <f>'1'!T12</f>
        <v>Канализация</v>
      </c>
      <c r="U12" s="60"/>
      <c r="V12" s="27" t="s">
        <v>10</v>
      </c>
    </row>
    <row r="13" spans="2:22" x14ac:dyDescent="0.25">
      <c r="C13" s="9" t="s">
        <v>2</v>
      </c>
      <c r="D13" s="57"/>
      <c r="E13" s="58"/>
      <c r="F13" s="11"/>
      <c r="G13" s="7"/>
      <c r="H13" s="11"/>
      <c r="I13" s="7"/>
      <c r="J13" s="11"/>
      <c r="K13" s="7"/>
      <c r="L13" s="11"/>
      <c r="M13" s="7"/>
      <c r="N13" s="11"/>
      <c r="O13" s="7"/>
      <c r="P13" s="57"/>
      <c r="Q13" s="58"/>
      <c r="R13" s="57"/>
      <c r="S13" s="58"/>
      <c r="T13" s="57"/>
      <c r="U13" s="58"/>
      <c r="V13" s="30">
        <f>V14</f>
        <v>-217072.74000000002</v>
      </c>
    </row>
    <row r="14" spans="2:22" ht="47.25" x14ac:dyDescent="0.25">
      <c r="C14" s="10" t="str">
        <f>'1'!C14</f>
        <v>Остаток с предыдущего периода (задолженность(-), переплата (+)) на 01.01.2016г.</v>
      </c>
      <c r="D14" s="57"/>
      <c r="E14" s="58"/>
      <c r="F14" s="11">
        <v>-37269.839999999997</v>
      </c>
      <c r="G14" s="7"/>
      <c r="H14" s="11">
        <v>0</v>
      </c>
      <c r="I14" s="7"/>
      <c r="J14" s="14">
        <v>-7295.83</v>
      </c>
      <c r="K14" s="7"/>
      <c r="L14" s="14">
        <v>-102829.85</v>
      </c>
      <c r="M14" s="7"/>
      <c r="N14" s="14">
        <v>-1369.91</v>
      </c>
      <c r="O14" s="7"/>
      <c r="P14" s="61">
        <v>-8346.0300000000007</v>
      </c>
      <c r="Q14" s="62"/>
      <c r="R14" s="61">
        <v>-41198.29</v>
      </c>
      <c r="S14" s="62"/>
      <c r="T14" s="61">
        <v>-18762.990000000002</v>
      </c>
      <c r="U14" s="62"/>
      <c r="V14" s="14">
        <f>F14+H14+J14+L14+N14+P14+Q14+R14+T14+U14+S14</f>
        <v>-217072.74000000002</v>
      </c>
    </row>
    <row r="15" spans="2:22" x14ac:dyDescent="0.25">
      <c r="C15" s="9" t="str">
        <f>'5'!C15</f>
        <v>Начислено</v>
      </c>
      <c r="D15" s="57"/>
      <c r="E15" s="58"/>
      <c r="F15" s="11">
        <v>167540.04</v>
      </c>
      <c r="G15" s="7"/>
      <c r="H15" s="14"/>
      <c r="I15" s="7"/>
      <c r="J15" s="14">
        <v>26062.32</v>
      </c>
      <c r="K15" s="7"/>
      <c r="L15" s="11">
        <v>438665.52</v>
      </c>
      <c r="M15" s="7"/>
      <c r="N15" s="11"/>
      <c r="O15" s="7"/>
      <c r="P15" s="61">
        <f>17482.45+362.67</f>
        <v>17845.12</v>
      </c>
      <c r="Q15" s="62"/>
      <c r="R15" s="61">
        <f>87482.9+1556.72</f>
        <v>89039.62</v>
      </c>
      <c r="S15" s="62"/>
      <c r="T15" s="61">
        <f>21714.91+16923.27</f>
        <v>38638.18</v>
      </c>
      <c r="U15" s="62"/>
      <c r="V15" s="11">
        <f>F15+H15+J15+L15+N15+P15+Q15+R15+T15+U15+S15</f>
        <v>777790.8</v>
      </c>
    </row>
    <row r="16" spans="2:22" x14ac:dyDescent="0.25">
      <c r="C16" s="9" t="s">
        <v>4</v>
      </c>
      <c r="D16" s="57"/>
      <c r="E16" s="58"/>
      <c r="F16" s="11">
        <v>171244.46</v>
      </c>
      <c r="G16" s="7"/>
      <c r="H16" s="14"/>
      <c r="I16" s="7"/>
      <c r="J16" s="14">
        <v>25753.39</v>
      </c>
      <c r="K16" s="7"/>
      <c r="L16" s="11">
        <v>453452.54</v>
      </c>
      <c r="M16" s="7"/>
      <c r="N16" s="14">
        <v>1272.4000000000001</v>
      </c>
      <c r="O16" s="7"/>
      <c r="P16" s="61">
        <f>19646.88+226.67</f>
        <v>19873.55</v>
      </c>
      <c r="Q16" s="62"/>
      <c r="R16" s="61">
        <f>89751.32+943.78</f>
        <v>90695.1</v>
      </c>
      <c r="S16" s="62"/>
      <c r="T16" s="61">
        <f>27279.96+15121.69</f>
        <v>42401.65</v>
      </c>
      <c r="U16" s="62"/>
      <c r="V16" s="12">
        <f>F16+H16+J16+L16+N16+P16+Q16+R16+T16+U16+S16</f>
        <v>804693.09</v>
      </c>
    </row>
    <row r="17" spans="2:22" ht="31.5" x14ac:dyDescent="0.25">
      <c r="C17" s="10" t="s">
        <v>5</v>
      </c>
      <c r="D17" s="57"/>
      <c r="E17" s="58"/>
      <c r="F17" s="14">
        <f>P44+P50</f>
        <v>183830.44293601197</v>
      </c>
      <c r="G17" s="7"/>
      <c r="H17" s="11">
        <f>P52</f>
        <v>0</v>
      </c>
      <c r="I17" s="7"/>
      <c r="J17" s="14">
        <f>J15+18637.28</f>
        <v>44699.6</v>
      </c>
      <c r="K17" s="7"/>
      <c r="L17" s="11">
        <f>(D8*L20*6)+(D8+L21*6)</f>
        <v>217268.84920000003</v>
      </c>
      <c r="M17" s="7"/>
      <c r="N17" s="14"/>
      <c r="O17" s="7"/>
      <c r="P17" s="61">
        <f>P15+Q15+114670.71</f>
        <v>132515.83000000002</v>
      </c>
      <c r="Q17" s="62"/>
      <c r="R17" s="61">
        <f>R15+S15</f>
        <v>89039.62</v>
      </c>
      <c r="S17" s="62"/>
      <c r="T17" s="61">
        <f>T15+U15</f>
        <v>38638.18</v>
      </c>
      <c r="U17" s="58"/>
      <c r="V17" s="12">
        <f t="shared" ref="V17" si="0">F17+H17+J17+L17+N17+P17+Q17+R17+T17+U17+S17</f>
        <v>705992.52213601209</v>
      </c>
    </row>
    <row r="18" spans="2:22" ht="31.5" x14ac:dyDescent="0.25">
      <c r="C18" s="10" t="str">
        <f>'1'!C18</f>
        <v>Текущий остаток (задолженность (-), переплата (+)) на 31.12.2016 г.</v>
      </c>
      <c r="D18" s="57"/>
      <c r="E18" s="58"/>
      <c r="F18" s="31">
        <f>F16-F15+F14</f>
        <v>-33565.420000000013</v>
      </c>
      <c r="G18" s="40"/>
      <c r="H18" s="31">
        <f>H16-H15+H14</f>
        <v>0</v>
      </c>
      <c r="I18" s="40"/>
      <c r="J18" s="31">
        <f>J16-J15+J14</f>
        <v>-7604.76</v>
      </c>
      <c r="K18" s="40"/>
      <c r="L18" s="31">
        <f>L16-L15+L14</f>
        <v>-88042.830000000045</v>
      </c>
      <c r="M18" s="32"/>
      <c r="N18" s="33">
        <f>N16-N15+N14</f>
        <v>-97.509999999999991</v>
      </c>
      <c r="O18" s="32"/>
      <c r="P18" s="55">
        <f t="shared" ref="P18:V18" si="1">P16-P15+P14</f>
        <v>-6317.6</v>
      </c>
      <c r="Q18" s="56"/>
      <c r="R18" s="55">
        <f>R16-R15+R14</f>
        <v>-39542.80999999999</v>
      </c>
      <c r="S18" s="56"/>
      <c r="T18" s="55">
        <f t="shared" si="1"/>
        <v>-14999.52</v>
      </c>
      <c r="U18" s="56"/>
      <c r="V18" s="31">
        <f t="shared" si="1"/>
        <v>-190170.4500000001</v>
      </c>
    </row>
    <row r="19" spans="2:22" x14ac:dyDescent="0.25">
      <c r="C19" s="9" t="s">
        <v>6</v>
      </c>
      <c r="D19" s="57"/>
      <c r="E19" s="58"/>
      <c r="F19" s="11"/>
      <c r="G19" s="7"/>
      <c r="H19" s="11"/>
      <c r="I19" s="7"/>
      <c r="J19" s="11"/>
      <c r="K19" s="7"/>
      <c r="L19" s="11"/>
      <c r="M19" s="7"/>
      <c r="N19" s="11"/>
      <c r="O19" s="7"/>
      <c r="P19" s="57"/>
      <c r="Q19" s="58"/>
      <c r="R19" s="57"/>
      <c r="S19" s="58"/>
      <c r="T19" s="57"/>
      <c r="U19" s="58"/>
      <c r="V19" s="30">
        <f>F18+H18+J18+L18+N18+P18+Q18+R18+S18+T18+U18</f>
        <v>-190170.45000000004</v>
      </c>
    </row>
    <row r="20" spans="2:22" x14ac:dyDescent="0.25">
      <c r="C20" s="9" t="str">
        <f>'1'!C20</f>
        <v>Тариф (руб/м²), 1-е полугодие</v>
      </c>
      <c r="D20" s="57"/>
      <c r="E20" s="58"/>
      <c r="F20" s="13">
        <f>'1'!F20</f>
        <v>15.31</v>
      </c>
      <c r="G20" s="7"/>
      <c r="H20" s="13">
        <f>'1'!H20</f>
        <v>37.700000000000003</v>
      </c>
      <c r="I20" s="7"/>
      <c r="J20" s="13">
        <f>'1'!J20</f>
        <v>44.32</v>
      </c>
      <c r="K20" s="7"/>
      <c r="L20" s="11">
        <v>39.520000000000003</v>
      </c>
      <c r="M20" s="7"/>
      <c r="N20" s="11">
        <f>'1'!N20</f>
        <v>50</v>
      </c>
      <c r="O20" s="7"/>
      <c r="P20" s="57" t="str">
        <f>'1'!P20</f>
        <v xml:space="preserve">15,02 руб./м3 </v>
      </c>
      <c r="Q20" s="58"/>
      <c r="R20" s="57" t="str">
        <f>'1'!R20</f>
        <v>99,55 руб./м3</v>
      </c>
      <c r="S20" s="58"/>
      <c r="T20" s="57" t="str">
        <f>'1'!T20</f>
        <v>18,66 руб./м3</v>
      </c>
      <c r="U20" s="58"/>
      <c r="V20" s="11"/>
    </row>
    <row r="21" spans="2:22" x14ac:dyDescent="0.25">
      <c r="C21" s="9" t="str">
        <f>'1'!C21</f>
        <v>Тариф (руб/м²), 2-е полугодие</v>
      </c>
      <c r="D21" s="50"/>
      <c r="E21" s="51"/>
      <c r="F21" s="21">
        <f>'1'!F21</f>
        <v>15.31</v>
      </c>
      <c r="G21" s="7"/>
      <c r="H21" s="21"/>
      <c r="I21" s="7"/>
      <c r="J21" s="21">
        <f>'1'!J21</f>
        <v>44.32</v>
      </c>
      <c r="K21" s="7"/>
      <c r="L21" s="21">
        <f>'4'!L21</f>
        <v>40.65</v>
      </c>
      <c r="M21" s="7"/>
      <c r="N21" s="21">
        <f>'1'!N21</f>
        <v>50</v>
      </c>
      <c r="O21" s="7"/>
      <c r="P21" s="57" t="str">
        <f>'1'!P21:Q21</f>
        <v>15,63 руб./м³</v>
      </c>
      <c r="Q21" s="58"/>
      <c r="R21" s="57" t="str">
        <f>'1'!R21:S21</f>
        <v>102,59 руб./м³</v>
      </c>
      <c r="S21" s="58"/>
      <c r="T21" s="57" t="str">
        <f>'1'!T21:U21</f>
        <v>19,41 руб./м³</v>
      </c>
      <c r="U21" s="58"/>
      <c r="V21" s="21"/>
    </row>
    <row r="22" spans="2:22" x14ac:dyDescent="0.25">
      <c r="C22" s="9" t="s">
        <v>44</v>
      </c>
      <c r="D22" s="57"/>
      <c r="E22" s="58"/>
      <c r="F22" s="18">
        <f>N44+N50</f>
        <v>16.808246099999998</v>
      </c>
      <c r="G22" s="7"/>
      <c r="H22" s="11"/>
      <c r="I22" s="7"/>
      <c r="J22" s="11"/>
      <c r="K22" s="7"/>
      <c r="L22" s="11"/>
      <c r="M22" s="7"/>
      <c r="N22" s="11"/>
      <c r="O22" s="7"/>
      <c r="P22" s="57"/>
      <c r="Q22" s="58"/>
      <c r="R22" s="57"/>
      <c r="S22" s="58"/>
      <c r="T22" s="57"/>
      <c r="U22" s="58"/>
      <c r="V22" s="11"/>
    </row>
    <row r="24" spans="2:22" x14ac:dyDescent="0.25">
      <c r="C24" s="5" t="s">
        <v>11</v>
      </c>
    </row>
    <row r="25" spans="2:22" x14ac:dyDescent="0.25">
      <c r="C25" s="1" t="s">
        <v>12</v>
      </c>
      <c r="J25" s="34">
        <f>V19/V15*100</f>
        <v>-24.450077064424011</v>
      </c>
      <c r="K25" s="35" t="s">
        <v>37</v>
      </c>
    </row>
    <row r="28" spans="2:22" ht="33" customHeight="1" x14ac:dyDescent="0.25">
      <c r="B28" s="27" t="s">
        <v>13</v>
      </c>
      <c r="C28" s="72" t="s">
        <v>14</v>
      </c>
      <c r="D28" s="72"/>
      <c r="E28" s="72"/>
      <c r="F28" s="72"/>
      <c r="G28" s="72"/>
      <c r="H28" s="72"/>
      <c r="I28" s="72"/>
      <c r="J28" s="72"/>
      <c r="K28" s="72"/>
      <c r="L28" s="73" t="s">
        <v>45</v>
      </c>
      <c r="M28" s="73"/>
      <c r="N28" s="73" t="s">
        <v>46</v>
      </c>
      <c r="O28" s="73"/>
      <c r="P28" s="27" t="s">
        <v>28</v>
      </c>
    </row>
    <row r="29" spans="2:22" x14ac:dyDescent="0.25">
      <c r="B29" s="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4"/>
    </row>
    <row r="30" spans="2:22" x14ac:dyDescent="0.25">
      <c r="B30" s="90" t="s">
        <v>7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</row>
    <row r="31" spans="2:22" x14ac:dyDescent="0.25">
      <c r="B31" s="4">
        <v>1</v>
      </c>
      <c r="C31" s="76" t="s">
        <v>15</v>
      </c>
      <c r="D31" s="76"/>
      <c r="E31" s="76"/>
      <c r="F31" s="76"/>
      <c r="G31" s="76"/>
      <c r="H31" s="76"/>
      <c r="I31" s="76"/>
      <c r="J31" s="76"/>
      <c r="K31" s="76"/>
      <c r="L31" s="74">
        <v>911.41</v>
      </c>
      <c r="M31" s="74"/>
      <c r="N31" s="77">
        <f>'1'!N31:O31</f>
        <v>3.5</v>
      </c>
      <c r="O31" s="77"/>
      <c r="P31" s="17">
        <f>L31*N31*12</f>
        <v>38279.22</v>
      </c>
    </row>
    <row r="32" spans="2:22" x14ac:dyDescent="0.25">
      <c r="B32" s="4">
        <v>2</v>
      </c>
      <c r="C32" s="76" t="s">
        <v>34</v>
      </c>
      <c r="D32" s="76"/>
      <c r="E32" s="76"/>
      <c r="F32" s="76"/>
      <c r="G32" s="76"/>
      <c r="H32" s="76"/>
      <c r="I32" s="76"/>
      <c r="J32" s="76"/>
      <c r="K32" s="76"/>
      <c r="L32" s="74">
        <v>911.41</v>
      </c>
      <c r="M32" s="74"/>
      <c r="N32" s="77">
        <f>'1'!N32:O32</f>
        <v>0.98752150000000005</v>
      </c>
      <c r="O32" s="77"/>
      <c r="P32" s="17">
        <f t="shared" ref="P32:P43" si="2">L32*N32*12</f>
        <v>10800.44364378</v>
      </c>
    </row>
    <row r="33" spans="2:16" x14ac:dyDescent="0.25">
      <c r="B33" s="4">
        <v>3</v>
      </c>
      <c r="C33" s="76" t="s">
        <v>16</v>
      </c>
      <c r="D33" s="76"/>
      <c r="E33" s="76"/>
      <c r="F33" s="76"/>
      <c r="G33" s="76"/>
      <c r="H33" s="76"/>
      <c r="I33" s="76"/>
      <c r="J33" s="76"/>
      <c r="K33" s="76"/>
      <c r="L33" s="74">
        <v>911.41</v>
      </c>
      <c r="M33" s="74"/>
      <c r="N33" s="77">
        <f>'1'!N33:O33</f>
        <v>2.8257476000000001</v>
      </c>
      <c r="O33" s="77"/>
      <c r="P33" s="17">
        <f t="shared" si="2"/>
        <v>30904.975441392002</v>
      </c>
    </row>
    <row r="34" spans="2:16" x14ac:dyDescent="0.25">
      <c r="B34" s="4">
        <v>4</v>
      </c>
      <c r="C34" s="76" t="s">
        <v>17</v>
      </c>
      <c r="D34" s="76"/>
      <c r="E34" s="76"/>
      <c r="F34" s="76"/>
      <c r="G34" s="76"/>
      <c r="H34" s="76"/>
      <c r="I34" s="76"/>
      <c r="J34" s="76"/>
      <c r="K34" s="76"/>
      <c r="L34" s="74">
        <v>911.41</v>
      </c>
      <c r="M34" s="74"/>
      <c r="N34" s="77">
        <f>'1'!N34:O34</f>
        <v>1</v>
      </c>
      <c r="O34" s="77"/>
      <c r="P34" s="17">
        <f t="shared" si="2"/>
        <v>10936.92</v>
      </c>
    </row>
    <row r="35" spans="2:16" x14ac:dyDescent="0.25">
      <c r="B35" s="4">
        <v>5</v>
      </c>
      <c r="C35" s="76" t="s">
        <v>18</v>
      </c>
      <c r="D35" s="76"/>
      <c r="E35" s="76"/>
      <c r="F35" s="76"/>
      <c r="G35" s="76"/>
      <c r="H35" s="76"/>
      <c r="I35" s="76"/>
      <c r="J35" s="76"/>
      <c r="K35" s="76"/>
      <c r="L35" s="74">
        <v>911.41</v>
      </c>
      <c r="M35" s="74"/>
      <c r="N35" s="77">
        <f>'1'!N35:O35</f>
        <v>2</v>
      </c>
      <c r="O35" s="77"/>
      <c r="P35" s="17">
        <f t="shared" si="2"/>
        <v>21873.84</v>
      </c>
    </row>
    <row r="36" spans="2:16" x14ac:dyDescent="0.25">
      <c r="B36" s="4">
        <v>6</v>
      </c>
      <c r="C36" s="76" t="s">
        <v>24</v>
      </c>
      <c r="D36" s="76"/>
      <c r="E36" s="76"/>
      <c r="F36" s="76"/>
      <c r="G36" s="76"/>
      <c r="H36" s="76"/>
      <c r="I36" s="76"/>
      <c r="J36" s="76"/>
      <c r="K36" s="76"/>
      <c r="L36" s="74">
        <v>911.41</v>
      </c>
      <c r="M36" s="74"/>
      <c r="N36" s="77">
        <f>'1'!N36:O36</f>
        <v>3</v>
      </c>
      <c r="O36" s="77"/>
      <c r="P36" s="17">
        <f t="shared" si="2"/>
        <v>32810.76</v>
      </c>
    </row>
    <row r="37" spans="2:16" x14ac:dyDescent="0.25">
      <c r="B37" s="4">
        <v>7</v>
      </c>
      <c r="C37" s="76" t="s">
        <v>19</v>
      </c>
      <c r="D37" s="76"/>
      <c r="E37" s="76"/>
      <c r="F37" s="76"/>
      <c r="G37" s="76"/>
      <c r="H37" s="76"/>
      <c r="I37" s="76"/>
      <c r="J37" s="76"/>
      <c r="K37" s="76"/>
      <c r="L37" s="74">
        <v>911.41</v>
      </c>
      <c r="M37" s="74"/>
      <c r="N37" s="77">
        <f>'1'!N37:O37</f>
        <v>0.5</v>
      </c>
      <c r="O37" s="77"/>
      <c r="P37" s="17">
        <f t="shared" si="2"/>
        <v>5468.46</v>
      </c>
    </row>
    <row r="38" spans="2:16" x14ac:dyDescent="0.25">
      <c r="B38" s="4">
        <v>8</v>
      </c>
      <c r="C38" s="76" t="s">
        <v>20</v>
      </c>
      <c r="D38" s="76"/>
      <c r="E38" s="76"/>
      <c r="F38" s="76"/>
      <c r="G38" s="76"/>
      <c r="H38" s="76"/>
      <c r="I38" s="76"/>
      <c r="J38" s="76"/>
      <c r="K38" s="76"/>
      <c r="L38" s="74">
        <v>911.41</v>
      </c>
      <c r="M38" s="74"/>
      <c r="N38" s="77">
        <f>'1'!N38:O38</f>
        <v>1.694977</v>
      </c>
      <c r="O38" s="77"/>
      <c r="P38" s="17">
        <f t="shared" si="2"/>
        <v>18537.82785084</v>
      </c>
    </row>
    <row r="39" spans="2:16" x14ac:dyDescent="0.25">
      <c r="B39" s="4">
        <v>9</v>
      </c>
      <c r="C39" s="76" t="s">
        <v>84</v>
      </c>
      <c r="D39" s="76"/>
      <c r="E39" s="76"/>
      <c r="F39" s="76"/>
      <c r="G39" s="76"/>
      <c r="H39" s="76"/>
      <c r="I39" s="76"/>
      <c r="J39" s="76"/>
      <c r="K39" s="76"/>
      <c r="L39" s="74">
        <v>911.41</v>
      </c>
      <c r="M39" s="74"/>
      <c r="N39" s="77">
        <f>'1'!N39:O39</f>
        <v>0.1</v>
      </c>
      <c r="O39" s="77"/>
      <c r="P39" s="17">
        <f t="shared" si="2"/>
        <v>1093.692</v>
      </c>
    </row>
    <row r="40" spans="2:16" x14ac:dyDescent="0.25">
      <c r="B40" s="4">
        <v>10</v>
      </c>
      <c r="C40" s="76" t="s">
        <v>21</v>
      </c>
      <c r="D40" s="76"/>
      <c r="E40" s="76"/>
      <c r="F40" s="76"/>
      <c r="G40" s="76"/>
      <c r="H40" s="76"/>
      <c r="I40" s="76"/>
      <c r="J40" s="76"/>
      <c r="K40" s="76"/>
      <c r="L40" s="74">
        <v>911.41</v>
      </c>
      <c r="M40" s="74"/>
      <c r="N40" s="77">
        <f>'1'!N40:O40</f>
        <v>0.2</v>
      </c>
      <c r="O40" s="77"/>
      <c r="P40" s="17">
        <f t="shared" si="2"/>
        <v>2187.384</v>
      </c>
    </row>
    <row r="41" spans="2:16" x14ac:dyDescent="0.25">
      <c r="B41" s="4">
        <v>11</v>
      </c>
      <c r="C41" s="76" t="s">
        <v>22</v>
      </c>
      <c r="D41" s="76"/>
      <c r="E41" s="76"/>
      <c r="F41" s="76"/>
      <c r="G41" s="76"/>
      <c r="H41" s="76"/>
      <c r="I41" s="76"/>
      <c r="J41" s="76"/>
      <c r="K41" s="76"/>
      <c r="L41" s="74">
        <v>911.41</v>
      </c>
      <c r="M41" s="74"/>
      <c r="N41" s="77">
        <f>'1'!N41:O41</f>
        <v>0.5</v>
      </c>
      <c r="O41" s="77"/>
      <c r="P41" s="17">
        <f t="shared" si="2"/>
        <v>5468.46</v>
      </c>
    </row>
    <row r="42" spans="2:16" hidden="1" x14ac:dyDescent="0.25">
      <c r="B42" s="4">
        <v>12</v>
      </c>
      <c r="C42" s="76" t="s">
        <v>23</v>
      </c>
      <c r="D42" s="76"/>
      <c r="E42" s="76"/>
      <c r="F42" s="76"/>
      <c r="G42" s="76"/>
      <c r="H42" s="76"/>
      <c r="I42" s="76"/>
      <c r="J42" s="76"/>
      <c r="K42" s="76"/>
      <c r="L42" s="74">
        <v>911.41</v>
      </c>
      <c r="M42" s="74"/>
      <c r="N42" s="77">
        <f>'1'!N42:O42</f>
        <v>0</v>
      </c>
      <c r="O42" s="77"/>
      <c r="P42" s="17">
        <f t="shared" si="2"/>
        <v>0</v>
      </c>
    </row>
    <row r="43" spans="2:16" x14ac:dyDescent="0.25">
      <c r="B43" s="4">
        <v>12</v>
      </c>
      <c r="C43" s="76" t="s">
        <v>25</v>
      </c>
      <c r="D43" s="76"/>
      <c r="E43" s="76"/>
      <c r="F43" s="76"/>
      <c r="G43" s="76"/>
      <c r="H43" s="76"/>
      <c r="I43" s="76"/>
      <c r="J43" s="76"/>
      <c r="K43" s="76"/>
      <c r="L43" s="74">
        <v>911.41</v>
      </c>
      <c r="M43" s="74"/>
      <c r="N43" s="77">
        <f>'1'!N43:O43</f>
        <v>0.5</v>
      </c>
      <c r="O43" s="77"/>
      <c r="P43" s="17">
        <f t="shared" si="2"/>
        <v>5468.46</v>
      </c>
    </row>
    <row r="44" spans="2:16" x14ac:dyDescent="0.25">
      <c r="B44" s="38"/>
      <c r="C44" s="78" t="s">
        <v>26</v>
      </c>
      <c r="D44" s="78"/>
      <c r="E44" s="78"/>
      <c r="F44" s="78"/>
      <c r="G44" s="78"/>
      <c r="H44" s="78"/>
      <c r="I44" s="78"/>
      <c r="J44" s="78"/>
      <c r="K44" s="78"/>
      <c r="L44" s="79">
        <v>911.41</v>
      </c>
      <c r="M44" s="79"/>
      <c r="N44" s="91">
        <f>SUM(N31:O43)</f>
        <v>16.808246099999998</v>
      </c>
      <c r="O44" s="91"/>
      <c r="P44" s="39">
        <f>SUM(P31:P43)</f>
        <v>183830.44293601197</v>
      </c>
    </row>
    <row r="45" spans="2:16" hidden="1" x14ac:dyDescent="0.25">
      <c r="B45" s="90" t="s">
        <v>27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</row>
    <row r="46" spans="2:16" hidden="1" x14ac:dyDescent="0.25">
      <c r="B46" s="4">
        <v>1</v>
      </c>
      <c r="C46" s="82" t="s">
        <v>73</v>
      </c>
      <c r="D46" s="83"/>
      <c r="E46" s="83"/>
      <c r="F46" s="83"/>
      <c r="G46" s="83"/>
      <c r="H46" s="83"/>
      <c r="I46" s="83"/>
      <c r="J46" s="83"/>
      <c r="K46" s="84"/>
      <c r="L46" s="74">
        <v>911.41</v>
      </c>
      <c r="M46" s="74"/>
      <c r="N46" s="74"/>
      <c r="O46" s="74"/>
      <c r="P46" s="17">
        <f>L46*N46*6</f>
        <v>0</v>
      </c>
    </row>
    <row r="47" spans="2:16" hidden="1" x14ac:dyDescent="0.25">
      <c r="B47" s="4">
        <v>2</v>
      </c>
      <c r="C47" s="82" t="s">
        <v>74</v>
      </c>
      <c r="D47" s="83"/>
      <c r="E47" s="83"/>
      <c r="F47" s="83"/>
      <c r="G47" s="83"/>
      <c r="H47" s="83"/>
      <c r="I47" s="83"/>
      <c r="J47" s="83"/>
      <c r="K47" s="84"/>
      <c r="L47" s="74">
        <v>911.41</v>
      </c>
      <c r="M47" s="74"/>
      <c r="N47" s="74"/>
      <c r="O47" s="74"/>
      <c r="P47" s="17">
        <f t="shared" ref="P47:P49" si="3">L47*N47*6</f>
        <v>0</v>
      </c>
    </row>
    <row r="48" spans="2:16" hidden="1" x14ac:dyDescent="0.25">
      <c r="B48" s="4">
        <v>3</v>
      </c>
      <c r="C48" s="74"/>
      <c r="D48" s="74"/>
      <c r="E48" s="74"/>
      <c r="F48" s="74"/>
      <c r="G48" s="74"/>
      <c r="H48" s="74"/>
      <c r="I48" s="74"/>
      <c r="J48" s="74"/>
      <c r="K48" s="74"/>
      <c r="L48" s="74">
        <v>911.41</v>
      </c>
      <c r="M48" s="74"/>
      <c r="N48" s="74"/>
      <c r="O48" s="74"/>
      <c r="P48" s="17">
        <f t="shared" si="3"/>
        <v>0</v>
      </c>
    </row>
    <row r="49" spans="2:16" hidden="1" x14ac:dyDescent="0.25">
      <c r="B49" s="4">
        <v>4</v>
      </c>
      <c r="C49" s="74"/>
      <c r="D49" s="74"/>
      <c r="E49" s="74"/>
      <c r="F49" s="74"/>
      <c r="G49" s="74"/>
      <c r="H49" s="74"/>
      <c r="I49" s="74"/>
      <c r="J49" s="74"/>
      <c r="K49" s="74"/>
      <c r="L49" s="74">
        <v>911.41</v>
      </c>
      <c r="M49" s="74"/>
      <c r="N49" s="74"/>
      <c r="O49" s="74"/>
      <c r="P49" s="17">
        <f t="shared" si="3"/>
        <v>0</v>
      </c>
    </row>
    <row r="50" spans="2:16" hidden="1" x14ac:dyDescent="0.25">
      <c r="B50" s="38"/>
      <c r="C50" s="86" t="s">
        <v>29</v>
      </c>
      <c r="D50" s="87"/>
      <c r="E50" s="87"/>
      <c r="F50" s="87"/>
      <c r="G50" s="87"/>
      <c r="H50" s="87"/>
      <c r="I50" s="87"/>
      <c r="J50" s="87"/>
      <c r="K50" s="88"/>
      <c r="L50" s="79">
        <v>911.41</v>
      </c>
      <c r="M50" s="79"/>
      <c r="N50" s="79">
        <f>SUM(N46:O49)</f>
        <v>0</v>
      </c>
      <c r="O50" s="79"/>
      <c r="P50" s="39">
        <f>SUM(P46:P49)</f>
        <v>0</v>
      </c>
    </row>
    <row r="51" spans="2:16" hidden="1" x14ac:dyDescent="0.25">
      <c r="B51" s="90" t="s">
        <v>30</v>
      </c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</row>
    <row r="52" spans="2:16" hidden="1" x14ac:dyDescent="0.25">
      <c r="B52" s="38"/>
      <c r="C52" s="86" t="s">
        <v>31</v>
      </c>
      <c r="D52" s="87"/>
      <c r="E52" s="87"/>
      <c r="F52" s="87"/>
      <c r="G52" s="87"/>
      <c r="H52" s="87"/>
      <c r="I52" s="87"/>
      <c r="J52" s="87"/>
      <c r="K52" s="88"/>
      <c r="L52" s="79">
        <v>911.41</v>
      </c>
      <c r="M52" s="79"/>
      <c r="N52" s="79">
        <v>0</v>
      </c>
      <c r="O52" s="79"/>
      <c r="P52" s="38">
        <v>0</v>
      </c>
    </row>
    <row r="55" spans="2:16" x14ac:dyDescent="0.25">
      <c r="C55" s="1" t="s">
        <v>38</v>
      </c>
    </row>
    <row r="56" spans="2:16" x14ac:dyDescent="0.25">
      <c r="C56" s="1" t="s">
        <v>39</v>
      </c>
    </row>
    <row r="57" spans="2:16" x14ac:dyDescent="0.25">
      <c r="C57" s="4" t="s">
        <v>93</v>
      </c>
      <c r="D57" s="22">
        <f>N44</f>
        <v>16.808246099999998</v>
      </c>
    </row>
    <row r="60" spans="2:16" x14ac:dyDescent="0.25">
      <c r="C60" s="1" t="s">
        <v>40</v>
      </c>
      <c r="D60" s="2"/>
      <c r="E60" s="2"/>
      <c r="F60" s="2"/>
      <c r="G60" s="2"/>
      <c r="J60" s="1" t="s">
        <v>41</v>
      </c>
    </row>
    <row r="63" spans="2:16" ht="24.75" customHeight="1" x14ac:dyDescent="0.25">
      <c r="C63" s="1" t="s">
        <v>42</v>
      </c>
      <c r="D63" s="2"/>
      <c r="E63" s="2"/>
      <c r="F63" s="1" t="s">
        <v>43</v>
      </c>
    </row>
    <row r="64" spans="2:16" ht="25.5" customHeight="1" x14ac:dyDescent="0.25">
      <c r="D64" s="2"/>
      <c r="E64" s="2"/>
      <c r="F64" s="1" t="s">
        <v>43</v>
      </c>
    </row>
    <row r="65" spans="4:6" ht="24.75" customHeight="1" x14ac:dyDescent="0.25">
      <c r="D65" s="2"/>
      <c r="E65" s="2"/>
      <c r="F65" s="1" t="s">
        <v>43</v>
      </c>
    </row>
  </sheetData>
  <mergeCells count="115">
    <mergeCell ref="C48:K48"/>
    <mergeCell ref="L48:M48"/>
    <mergeCell ref="N48:O48"/>
    <mergeCell ref="B51:P51"/>
    <mergeCell ref="C52:K52"/>
    <mergeCell ref="L52:M52"/>
    <mergeCell ref="N52:O52"/>
    <mergeCell ref="C49:K49"/>
    <mergeCell ref="L49:M49"/>
    <mergeCell ref="N49:O49"/>
    <mergeCell ref="C50:K50"/>
    <mergeCell ref="L50:M50"/>
    <mergeCell ref="N50:O50"/>
    <mergeCell ref="C44:K44"/>
    <mergeCell ref="L44:M44"/>
    <mergeCell ref="N44:O44"/>
    <mergeCell ref="B45:P45"/>
    <mergeCell ref="C46:K46"/>
    <mergeCell ref="L46:M46"/>
    <mergeCell ref="N46:O46"/>
    <mergeCell ref="C47:K47"/>
    <mergeCell ref="L47:M47"/>
    <mergeCell ref="N47:O47"/>
    <mergeCell ref="C41:K41"/>
    <mergeCell ref="L41:M41"/>
    <mergeCell ref="N41:O41"/>
    <mergeCell ref="C42:K42"/>
    <mergeCell ref="L42:M42"/>
    <mergeCell ref="N42:O42"/>
    <mergeCell ref="C43:K43"/>
    <mergeCell ref="L43:M43"/>
    <mergeCell ref="N43:O43"/>
    <mergeCell ref="C38:K38"/>
    <mergeCell ref="L38:M38"/>
    <mergeCell ref="N38:O38"/>
    <mergeCell ref="C39:K39"/>
    <mergeCell ref="L39:M39"/>
    <mergeCell ref="N39:O39"/>
    <mergeCell ref="C40:K40"/>
    <mergeCell ref="L40:M40"/>
    <mergeCell ref="N40:O40"/>
    <mergeCell ref="C35:K35"/>
    <mergeCell ref="L35:M35"/>
    <mergeCell ref="N35:O35"/>
    <mergeCell ref="C36:K36"/>
    <mergeCell ref="L36:M36"/>
    <mergeCell ref="N36:O36"/>
    <mergeCell ref="C37:K37"/>
    <mergeCell ref="L37:M37"/>
    <mergeCell ref="N37:O37"/>
    <mergeCell ref="C32:K32"/>
    <mergeCell ref="L32:M32"/>
    <mergeCell ref="N32:O32"/>
    <mergeCell ref="C33:K33"/>
    <mergeCell ref="L33:M33"/>
    <mergeCell ref="N33:O33"/>
    <mergeCell ref="C34:K34"/>
    <mergeCell ref="L34:M34"/>
    <mergeCell ref="N34:O34"/>
    <mergeCell ref="R14:S14"/>
    <mergeCell ref="P22:Q22"/>
    <mergeCell ref="R15:S15"/>
    <mergeCell ref="C29:K29"/>
    <mergeCell ref="L29:M29"/>
    <mergeCell ref="N29:O29"/>
    <mergeCell ref="B30:P30"/>
    <mergeCell ref="C31:K31"/>
    <mergeCell ref="L31:M31"/>
    <mergeCell ref="N31:O31"/>
    <mergeCell ref="C28:K28"/>
    <mergeCell ref="L28:M28"/>
    <mergeCell ref="N28:O28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2:E22"/>
    <mergeCell ref="B2:V2"/>
    <mergeCell ref="B3:V3"/>
    <mergeCell ref="B4:V4"/>
    <mergeCell ref="P12:Q12"/>
    <mergeCell ref="R12:S12"/>
    <mergeCell ref="T12:U12"/>
    <mergeCell ref="P13:Q13"/>
    <mergeCell ref="R13:S13"/>
    <mergeCell ref="T13:U13"/>
    <mergeCell ref="T21:U21"/>
    <mergeCell ref="P14:Q14"/>
    <mergeCell ref="P15:Q15"/>
    <mergeCell ref="P16:Q16"/>
    <mergeCell ref="T22:U22"/>
    <mergeCell ref="T15:U15"/>
    <mergeCell ref="T16:U16"/>
    <mergeCell ref="R16:S16"/>
    <mergeCell ref="R18:S18"/>
    <mergeCell ref="R19:S19"/>
    <mergeCell ref="R20:S20"/>
    <mergeCell ref="R22:S22"/>
    <mergeCell ref="P17:Q17"/>
    <mergeCell ref="R17:S17"/>
    <mergeCell ref="P21:Q21"/>
    <mergeCell ref="R21:S21"/>
    <mergeCell ref="T18:U18"/>
    <mergeCell ref="T19:U19"/>
    <mergeCell ref="T20:U20"/>
    <mergeCell ref="P18:Q18"/>
    <mergeCell ref="P19:Q19"/>
    <mergeCell ref="P20:Q20"/>
    <mergeCell ref="T17:U17"/>
    <mergeCell ref="T14:U14"/>
  </mergeCells>
  <pageMargins left="0.25" right="0.25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B1:V65"/>
  <sheetViews>
    <sheetView view="pageBreakPreview" topLeftCell="A10" zoomScale="80" zoomScaleNormal="84" zoomScaleSheetLayoutView="80" workbookViewId="0">
      <selection activeCell="L17" sqref="L17"/>
    </sheetView>
  </sheetViews>
  <sheetFormatPr defaultRowHeight="15.75" x14ac:dyDescent="0.25"/>
  <cols>
    <col min="1" max="1" width="2.85546875" style="1" customWidth="1"/>
    <col min="2" max="2" width="4" style="1" bestFit="1" customWidth="1"/>
    <col min="3" max="3" width="38.5703125" style="1" customWidth="1"/>
    <col min="4" max="4" width="13.28515625" style="1" customWidth="1"/>
    <col min="5" max="5" width="11" style="1" customWidth="1"/>
    <col min="6" max="6" width="12" style="1" customWidth="1"/>
    <col min="7" max="7" width="1.5703125" style="1" hidden="1" customWidth="1"/>
    <col min="8" max="8" width="12.5703125" style="1" hidden="1" customWidth="1"/>
    <col min="9" max="9" width="1.5703125" style="1" customWidth="1"/>
    <col min="10" max="10" width="12" style="1" customWidth="1"/>
    <col min="11" max="11" width="2.28515625" style="1" customWidth="1"/>
    <col min="12" max="12" width="12.140625" style="1" customWidth="1"/>
    <col min="13" max="13" width="1.5703125" style="1" customWidth="1"/>
    <col min="14" max="14" width="16.42578125" style="1" customWidth="1"/>
    <col min="15" max="15" width="1.7109375" style="1" customWidth="1"/>
    <col min="16" max="16" width="13.28515625" style="1" customWidth="1"/>
    <col min="17" max="17" width="10.28515625" style="1" customWidth="1"/>
    <col min="18" max="18" width="11.7109375" style="1" customWidth="1"/>
    <col min="19" max="19" width="10.28515625" style="1" customWidth="1"/>
    <col min="20" max="20" width="15.42578125" style="1" customWidth="1"/>
    <col min="21" max="21" width="10.85546875" style="1" customWidth="1"/>
    <col min="22" max="22" width="12.28515625" style="1" customWidth="1"/>
    <col min="23" max="16384" width="9.140625" style="1"/>
  </cols>
  <sheetData>
    <row r="1" spans="2:22" ht="16.5" thickBot="1" x14ac:dyDescent="0.3"/>
    <row r="2" spans="2:22" x14ac:dyDescent="0.25">
      <c r="B2" s="63" t="s">
        <v>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5"/>
    </row>
    <row r="3" spans="2:22" x14ac:dyDescent="0.25">
      <c r="B3" s="66" t="str">
        <f>'1'!B3:V3</f>
        <v>с 1.01.2016 по 31.12.2016 г.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/>
    </row>
    <row r="4" spans="2:22" ht="16.5" thickBot="1" x14ac:dyDescent="0.3">
      <c r="B4" s="69" t="s">
        <v>32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1"/>
    </row>
    <row r="5" spans="2:22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2:22" x14ac:dyDescent="0.25">
      <c r="C6" s="29" t="s">
        <v>52</v>
      </c>
    </row>
    <row r="8" spans="2:22" x14ac:dyDescent="0.25">
      <c r="C8" s="1" t="s">
        <v>33</v>
      </c>
      <c r="D8" s="2">
        <v>718.27</v>
      </c>
    </row>
    <row r="9" spans="2:22" x14ac:dyDescent="0.25">
      <c r="C9" s="1" t="s">
        <v>35</v>
      </c>
      <c r="D9" s="3">
        <v>46</v>
      </c>
    </row>
    <row r="10" spans="2:22" x14ac:dyDescent="0.25">
      <c r="C10" s="1" t="s">
        <v>36</v>
      </c>
      <c r="D10" s="3">
        <v>16</v>
      </c>
    </row>
    <row r="12" spans="2:22" ht="47.25" x14ac:dyDescent="0.25">
      <c r="C12" s="27" t="s">
        <v>1</v>
      </c>
      <c r="D12" s="59" t="str">
        <f>'1'!D12:E12</f>
        <v>Содержание общего имущества дома</v>
      </c>
      <c r="E12" s="60"/>
      <c r="F12" s="27" t="s">
        <v>8</v>
      </c>
      <c r="G12" s="7"/>
      <c r="H12" s="27" t="s">
        <v>9</v>
      </c>
      <c r="I12" s="7"/>
      <c r="J12" s="28" t="str">
        <f>'1'!J12</f>
        <v>Вывоз ТБО (руб./чел.)</v>
      </c>
      <c r="K12" s="7"/>
      <c r="L12" s="28" t="s">
        <v>67</v>
      </c>
      <c r="M12" s="7"/>
      <c r="N12" s="28" t="str">
        <f>'1'!N12</f>
        <v>Обслуживание антены (руб./лиц.сч.)</v>
      </c>
      <c r="O12" s="8"/>
      <c r="P12" s="59" t="str">
        <f>'1'!P12</f>
        <v xml:space="preserve">Хол. вода </v>
      </c>
      <c r="Q12" s="60"/>
      <c r="R12" s="59" t="str">
        <f>'1'!R12</f>
        <v xml:space="preserve">Гор. вода </v>
      </c>
      <c r="S12" s="60"/>
      <c r="T12" s="59" t="str">
        <f>'1'!T12</f>
        <v>Канализация</v>
      </c>
      <c r="U12" s="60"/>
      <c r="V12" s="27" t="s">
        <v>10</v>
      </c>
    </row>
    <row r="13" spans="2:22" x14ac:dyDescent="0.25">
      <c r="C13" s="9" t="s">
        <v>2</v>
      </c>
      <c r="D13" s="57"/>
      <c r="E13" s="58"/>
      <c r="F13" s="11"/>
      <c r="G13" s="7"/>
      <c r="H13" s="11"/>
      <c r="I13" s="7"/>
      <c r="J13" s="11"/>
      <c r="K13" s="7"/>
      <c r="L13" s="11"/>
      <c r="M13" s="7"/>
      <c r="N13" s="11"/>
      <c r="O13" s="7"/>
      <c r="P13" s="57"/>
      <c r="Q13" s="58"/>
      <c r="R13" s="57"/>
      <c r="S13" s="58"/>
      <c r="T13" s="57"/>
      <c r="U13" s="58"/>
      <c r="V13" s="30">
        <f>V14</f>
        <v>-509092.17</v>
      </c>
    </row>
    <row r="14" spans="2:22" ht="47.25" x14ac:dyDescent="0.25">
      <c r="C14" s="10" t="str">
        <f>'1'!C14</f>
        <v>Остаток с предыдущего периода (задолженность(-), переплата (+)) на 01.01.2016г.</v>
      </c>
      <c r="D14" s="57"/>
      <c r="E14" s="58"/>
      <c r="F14" s="11">
        <v>-92871.83</v>
      </c>
      <c r="G14" s="7"/>
      <c r="H14" s="14">
        <v>0</v>
      </c>
      <c r="I14" s="7"/>
      <c r="J14" s="14">
        <v>-19290.97</v>
      </c>
      <c r="K14" s="7"/>
      <c r="L14" s="14">
        <v>-216867.29</v>
      </c>
      <c r="M14" s="7"/>
      <c r="N14" s="11">
        <v>-4762.82</v>
      </c>
      <c r="O14" s="7"/>
      <c r="P14" s="57">
        <v>-22404.61</v>
      </c>
      <c r="Q14" s="58"/>
      <c r="R14" s="57">
        <v>-102829.59</v>
      </c>
      <c r="S14" s="58"/>
      <c r="T14" s="57">
        <v>-50065.06</v>
      </c>
      <c r="U14" s="58"/>
      <c r="V14" s="14">
        <f>F14+H14+J14+L14+N14+P14+Q14+R14+S14+T14+U14</f>
        <v>-509092.17</v>
      </c>
    </row>
    <row r="15" spans="2:22" x14ac:dyDescent="0.25">
      <c r="C15" s="9" t="s">
        <v>3</v>
      </c>
      <c r="D15" s="57"/>
      <c r="E15" s="58"/>
      <c r="F15" s="11">
        <v>130347.58</v>
      </c>
      <c r="G15" s="7"/>
      <c r="H15" s="14"/>
      <c r="I15" s="7"/>
      <c r="J15" s="14">
        <v>23403.119999999999</v>
      </c>
      <c r="K15" s="7"/>
      <c r="L15" s="14">
        <v>343231.42</v>
      </c>
      <c r="M15" s="7"/>
      <c r="N15" s="11">
        <v>8400</v>
      </c>
      <c r="O15" s="7"/>
      <c r="P15" s="61">
        <f>19317.89+1223.79</f>
        <v>20541.68</v>
      </c>
      <c r="Q15" s="62"/>
      <c r="R15" s="61">
        <f>104991.2+5316.48</f>
        <v>110307.68</v>
      </c>
      <c r="S15" s="62"/>
      <c r="T15" s="61">
        <f>23994.52+19767.6</f>
        <v>43762.119999999995</v>
      </c>
      <c r="U15" s="62"/>
      <c r="V15" s="11">
        <f>F15+H15+J15+L15+N15+P15+Q15+R15+S15+T15+U15</f>
        <v>679993.6</v>
      </c>
    </row>
    <row r="16" spans="2:22" x14ac:dyDescent="0.25">
      <c r="C16" s="9" t="s">
        <v>4</v>
      </c>
      <c r="D16" s="57"/>
      <c r="E16" s="58"/>
      <c r="F16" s="11">
        <f>114886.88+502.22</f>
        <v>115389.1</v>
      </c>
      <c r="G16" s="7"/>
      <c r="H16" s="14"/>
      <c r="I16" s="7"/>
      <c r="J16" s="14">
        <v>20296.310000000001</v>
      </c>
      <c r="K16" s="7"/>
      <c r="L16" s="14">
        <v>304400.55</v>
      </c>
      <c r="M16" s="7"/>
      <c r="N16" s="14">
        <v>7446.76</v>
      </c>
      <c r="O16" s="7"/>
      <c r="P16" s="61">
        <f>13667.66+217.58</f>
        <v>13885.24</v>
      </c>
      <c r="Q16" s="62"/>
      <c r="R16" s="61">
        <f>76417.28+900.75</f>
        <v>77318.03</v>
      </c>
      <c r="S16" s="62"/>
      <c r="T16" s="61">
        <f>18196.92+12475.09</f>
        <v>30672.01</v>
      </c>
      <c r="U16" s="62"/>
      <c r="V16" s="12">
        <f t="shared" ref="V16:V17" si="0">F16+H16+J16+L16+N16+P16+Q16+R16+S16+T16+U16</f>
        <v>569408</v>
      </c>
    </row>
    <row r="17" spans="2:22" ht="31.5" x14ac:dyDescent="0.25">
      <c r="C17" s="10" t="s">
        <v>5</v>
      </c>
      <c r="D17" s="57"/>
      <c r="E17" s="58"/>
      <c r="F17" s="14">
        <f>P44+P50</f>
        <v>144874.30711496397</v>
      </c>
      <c r="G17" s="7"/>
      <c r="H17" s="11">
        <f>P52</f>
        <v>0</v>
      </c>
      <c r="I17" s="7"/>
      <c r="J17" s="14">
        <f>J15+18637.28</f>
        <v>42040.399999999994</v>
      </c>
      <c r="K17" s="7"/>
      <c r="L17" s="11">
        <f>(D8*L20*6)+(D8*L21*6)</f>
        <v>347441.56439999997</v>
      </c>
      <c r="M17" s="7"/>
      <c r="N17" s="14">
        <f>'1'!N17</f>
        <v>11336.326999999999</v>
      </c>
      <c r="O17" s="7"/>
      <c r="P17" s="61">
        <f>P15+Q15+114670.71</f>
        <v>135212.39000000001</v>
      </c>
      <c r="Q17" s="62"/>
      <c r="R17" s="61">
        <f>R15+S15</f>
        <v>110307.68</v>
      </c>
      <c r="S17" s="62"/>
      <c r="T17" s="61">
        <f>T15+U15</f>
        <v>43762.119999999995</v>
      </c>
      <c r="U17" s="58"/>
      <c r="V17" s="12">
        <f t="shared" si="0"/>
        <v>834974.78851496393</v>
      </c>
    </row>
    <row r="18" spans="2:22" ht="31.5" x14ac:dyDescent="0.25">
      <c r="C18" s="10" t="str">
        <f>'1'!C18</f>
        <v>Текущий остаток (задолженность (-), переплата (+)) на 31.12.2016 г.</v>
      </c>
      <c r="D18" s="57"/>
      <c r="E18" s="58"/>
      <c r="F18" s="31">
        <f>F16-F15+F14</f>
        <v>-107830.31</v>
      </c>
      <c r="G18" s="40"/>
      <c r="H18" s="31">
        <f>H16-H15+H14</f>
        <v>0</v>
      </c>
      <c r="I18" s="40"/>
      <c r="J18" s="31">
        <f>J16-J15+J14</f>
        <v>-22397.78</v>
      </c>
      <c r="K18" s="40"/>
      <c r="L18" s="31">
        <f>L16-L15+L14</f>
        <v>-255698.16</v>
      </c>
      <c r="M18" s="40"/>
      <c r="N18" s="31">
        <f>N16-N15+N14</f>
        <v>-5716.0599999999995</v>
      </c>
      <c r="O18" s="40"/>
      <c r="P18" s="55">
        <f t="shared" ref="P18:V18" si="1">P16-P15+P14</f>
        <v>-29061.050000000003</v>
      </c>
      <c r="Q18" s="56"/>
      <c r="R18" s="55">
        <f t="shared" si="1"/>
        <v>-135819.24</v>
      </c>
      <c r="S18" s="56"/>
      <c r="T18" s="55">
        <f t="shared" si="1"/>
        <v>-63155.17</v>
      </c>
      <c r="U18" s="56"/>
      <c r="V18" s="31">
        <f t="shared" si="1"/>
        <v>-619677.77</v>
      </c>
    </row>
    <row r="19" spans="2:22" x14ac:dyDescent="0.25">
      <c r="C19" s="9" t="s">
        <v>6</v>
      </c>
      <c r="D19" s="57"/>
      <c r="E19" s="58"/>
      <c r="F19" s="11"/>
      <c r="G19" s="7"/>
      <c r="H19" s="11"/>
      <c r="I19" s="7"/>
      <c r="J19" s="11"/>
      <c r="K19" s="7"/>
      <c r="L19" s="11"/>
      <c r="M19" s="7"/>
      <c r="N19" s="11"/>
      <c r="O19" s="7"/>
      <c r="P19" s="57"/>
      <c r="Q19" s="58"/>
      <c r="R19" s="57"/>
      <c r="S19" s="58"/>
      <c r="T19" s="57"/>
      <c r="U19" s="58"/>
      <c r="V19" s="30">
        <f>F18+H18+J18+L18+N18+P18+Q18+R18+S18+T18+U18</f>
        <v>-619677.77</v>
      </c>
    </row>
    <row r="20" spans="2:22" x14ac:dyDescent="0.25">
      <c r="C20" s="9" t="str">
        <f>'1'!C20</f>
        <v>Тариф (руб/м²), 1-е полугодие</v>
      </c>
      <c r="D20" s="57"/>
      <c r="E20" s="58"/>
      <c r="F20" s="13">
        <f>'1'!F20</f>
        <v>15.31</v>
      </c>
      <c r="G20" s="7"/>
      <c r="H20" s="13">
        <f>'1'!H20</f>
        <v>37.700000000000003</v>
      </c>
      <c r="I20" s="7"/>
      <c r="J20" s="13">
        <f>'1'!J20</f>
        <v>44.32</v>
      </c>
      <c r="K20" s="7"/>
      <c r="L20" s="11">
        <v>39.74</v>
      </c>
      <c r="M20" s="7"/>
      <c r="N20" s="11">
        <f>'1'!N20</f>
        <v>50</v>
      </c>
      <c r="O20" s="7"/>
      <c r="P20" s="57" t="str">
        <f>'1'!P20</f>
        <v xml:space="preserve">15,02 руб./м3 </v>
      </c>
      <c r="Q20" s="58"/>
      <c r="R20" s="57" t="str">
        <f>'1'!R20</f>
        <v>99,55 руб./м3</v>
      </c>
      <c r="S20" s="58"/>
      <c r="T20" s="57" t="str">
        <f>'1'!T20</f>
        <v>18,66 руб./м3</v>
      </c>
      <c r="U20" s="58"/>
      <c r="V20" s="11"/>
    </row>
    <row r="21" spans="2:22" x14ac:dyDescent="0.25">
      <c r="C21" s="9" t="str">
        <f>'1'!C21</f>
        <v>Тариф (руб/м²), 2-е полугодие</v>
      </c>
      <c r="D21" s="50"/>
      <c r="E21" s="51"/>
      <c r="F21" s="21">
        <f>'1'!F21</f>
        <v>15.31</v>
      </c>
      <c r="G21" s="7"/>
      <c r="H21" s="21"/>
      <c r="I21" s="7"/>
      <c r="J21" s="21">
        <f>'1'!J21</f>
        <v>44.32</v>
      </c>
      <c r="K21" s="7"/>
      <c r="L21" s="21">
        <v>40.880000000000003</v>
      </c>
      <c r="M21" s="7"/>
      <c r="N21" s="21">
        <f>'1'!N21</f>
        <v>50</v>
      </c>
      <c r="O21" s="7"/>
      <c r="P21" s="57" t="str">
        <f>'1'!P21:Q21</f>
        <v>15,63 руб./м³</v>
      </c>
      <c r="Q21" s="58"/>
      <c r="R21" s="57" t="str">
        <f>'1'!R21:S21</f>
        <v>102,59 руб./м³</v>
      </c>
      <c r="S21" s="58"/>
      <c r="T21" s="57" t="str">
        <f>'1'!T21:U21</f>
        <v>19,41 руб./м³</v>
      </c>
      <c r="U21" s="58"/>
      <c r="V21" s="21"/>
    </row>
    <row r="22" spans="2:22" x14ac:dyDescent="0.25">
      <c r="C22" s="9" t="s">
        <v>44</v>
      </c>
      <c r="D22" s="57"/>
      <c r="E22" s="58"/>
      <c r="F22" s="18">
        <f>N44+N50</f>
        <v>16.808246099999998</v>
      </c>
      <c r="G22" s="7"/>
      <c r="H22" s="11"/>
      <c r="I22" s="7"/>
      <c r="J22" s="11"/>
      <c r="K22" s="7"/>
      <c r="L22" s="11"/>
      <c r="M22" s="7"/>
      <c r="N22" s="11"/>
      <c r="O22" s="7"/>
      <c r="P22" s="57"/>
      <c r="Q22" s="58"/>
      <c r="R22" s="57"/>
      <c r="S22" s="58"/>
      <c r="T22" s="57"/>
      <c r="U22" s="58"/>
      <c r="V22" s="11"/>
    </row>
    <row r="24" spans="2:22" x14ac:dyDescent="0.25">
      <c r="C24" s="5" t="s">
        <v>11</v>
      </c>
    </row>
    <row r="25" spans="2:22" x14ac:dyDescent="0.25">
      <c r="C25" s="1" t="s">
        <v>12</v>
      </c>
      <c r="J25" s="34">
        <f>V19/V15*100</f>
        <v>-91.12994151709664</v>
      </c>
      <c r="K25" s="35" t="s">
        <v>37</v>
      </c>
    </row>
    <row r="28" spans="2:22" ht="33" customHeight="1" x14ac:dyDescent="0.25">
      <c r="B28" s="27" t="s">
        <v>13</v>
      </c>
      <c r="C28" s="72" t="s">
        <v>14</v>
      </c>
      <c r="D28" s="72"/>
      <c r="E28" s="72"/>
      <c r="F28" s="72"/>
      <c r="G28" s="72"/>
      <c r="H28" s="72"/>
      <c r="I28" s="72"/>
      <c r="J28" s="72"/>
      <c r="K28" s="72"/>
      <c r="L28" s="73" t="s">
        <v>45</v>
      </c>
      <c r="M28" s="73"/>
      <c r="N28" s="73" t="s">
        <v>46</v>
      </c>
      <c r="O28" s="73"/>
      <c r="P28" s="27" t="s">
        <v>28</v>
      </c>
    </row>
    <row r="29" spans="2:22" x14ac:dyDescent="0.25">
      <c r="B29" s="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4"/>
    </row>
    <row r="30" spans="2:22" x14ac:dyDescent="0.25">
      <c r="B30" s="90" t="s">
        <v>7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</row>
    <row r="31" spans="2:22" x14ac:dyDescent="0.25">
      <c r="B31" s="4">
        <v>1</v>
      </c>
      <c r="C31" s="76" t="s">
        <v>15</v>
      </c>
      <c r="D31" s="76"/>
      <c r="E31" s="76"/>
      <c r="F31" s="76"/>
      <c r="G31" s="76"/>
      <c r="H31" s="76"/>
      <c r="I31" s="76"/>
      <c r="J31" s="76"/>
      <c r="K31" s="76"/>
      <c r="L31" s="74">
        <v>718.27</v>
      </c>
      <c r="M31" s="74"/>
      <c r="N31" s="77">
        <f>'1'!N31:O31</f>
        <v>3.5</v>
      </c>
      <c r="O31" s="77"/>
      <c r="P31" s="17">
        <f>L31*N31*12</f>
        <v>30167.339999999997</v>
      </c>
    </row>
    <row r="32" spans="2:22" x14ac:dyDescent="0.25">
      <c r="B32" s="4">
        <v>2</v>
      </c>
      <c r="C32" s="76" t="s">
        <v>34</v>
      </c>
      <c r="D32" s="76"/>
      <c r="E32" s="76"/>
      <c r="F32" s="76"/>
      <c r="G32" s="76"/>
      <c r="H32" s="76"/>
      <c r="I32" s="76"/>
      <c r="J32" s="76"/>
      <c r="K32" s="76"/>
      <c r="L32" s="74">
        <v>718.27</v>
      </c>
      <c r="M32" s="74"/>
      <c r="N32" s="77">
        <f>'1'!N32:O32</f>
        <v>0.98752150000000005</v>
      </c>
      <c r="O32" s="77"/>
      <c r="P32" s="17">
        <f t="shared" ref="P32:P43" si="2">L32*N32*12</f>
        <v>8511.6848136600001</v>
      </c>
    </row>
    <row r="33" spans="2:16" x14ac:dyDescent="0.25">
      <c r="B33" s="4">
        <v>3</v>
      </c>
      <c r="C33" s="76" t="s">
        <v>16</v>
      </c>
      <c r="D33" s="76"/>
      <c r="E33" s="76"/>
      <c r="F33" s="76"/>
      <c r="G33" s="76"/>
      <c r="H33" s="76"/>
      <c r="I33" s="76"/>
      <c r="J33" s="76"/>
      <c r="K33" s="76"/>
      <c r="L33" s="74">
        <v>718.27</v>
      </c>
      <c r="M33" s="74"/>
      <c r="N33" s="77">
        <f>'1'!N33:O33</f>
        <v>2.8257476000000001</v>
      </c>
      <c r="O33" s="77"/>
      <c r="P33" s="17">
        <f t="shared" si="2"/>
        <v>24355.796743824001</v>
      </c>
    </row>
    <row r="34" spans="2:16" x14ac:dyDescent="0.25">
      <c r="B34" s="4">
        <v>4</v>
      </c>
      <c r="C34" s="76" t="s">
        <v>17</v>
      </c>
      <c r="D34" s="76"/>
      <c r="E34" s="76"/>
      <c r="F34" s="76"/>
      <c r="G34" s="76"/>
      <c r="H34" s="76"/>
      <c r="I34" s="76"/>
      <c r="J34" s="76"/>
      <c r="K34" s="76"/>
      <c r="L34" s="74">
        <v>718.27</v>
      </c>
      <c r="M34" s="74"/>
      <c r="N34" s="77">
        <f>'1'!N34:O34</f>
        <v>1</v>
      </c>
      <c r="O34" s="77"/>
      <c r="P34" s="17">
        <f t="shared" si="2"/>
        <v>8619.24</v>
      </c>
    </row>
    <row r="35" spans="2:16" x14ac:dyDescent="0.25">
      <c r="B35" s="4">
        <v>5</v>
      </c>
      <c r="C35" s="76" t="s">
        <v>18</v>
      </c>
      <c r="D35" s="76"/>
      <c r="E35" s="76"/>
      <c r="F35" s="76"/>
      <c r="G35" s="76"/>
      <c r="H35" s="76"/>
      <c r="I35" s="76"/>
      <c r="J35" s="76"/>
      <c r="K35" s="76"/>
      <c r="L35" s="74">
        <v>718.27</v>
      </c>
      <c r="M35" s="74"/>
      <c r="N35" s="77">
        <f>'1'!N35:O35</f>
        <v>2</v>
      </c>
      <c r="O35" s="77"/>
      <c r="P35" s="17">
        <f t="shared" si="2"/>
        <v>17238.48</v>
      </c>
    </row>
    <row r="36" spans="2:16" x14ac:dyDescent="0.25">
      <c r="B36" s="4">
        <v>6</v>
      </c>
      <c r="C36" s="76" t="s">
        <v>24</v>
      </c>
      <c r="D36" s="76"/>
      <c r="E36" s="76"/>
      <c r="F36" s="76"/>
      <c r="G36" s="76"/>
      <c r="H36" s="76"/>
      <c r="I36" s="76"/>
      <c r="J36" s="76"/>
      <c r="K36" s="76"/>
      <c r="L36" s="74">
        <v>718.27</v>
      </c>
      <c r="M36" s="74"/>
      <c r="N36" s="77">
        <f>'1'!N36:O36</f>
        <v>3</v>
      </c>
      <c r="O36" s="77"/>
      <c r="P36" s="17">
        <f t="shared" si="2"/>
        <v>25857.72</v>
      </c>
    </row>
    <row r="37" spans="2:16" x14ac:dyDescent="0.25">
      <c r="B37" s="4">
        <v>7</v>
      </c>
      <c r="C37" s="76" t="s">
        <v>19</v>
      </c>
      <c r="D37" s="76"/>
      <c r="E37" s="76"/>
      <c r="F37" s="76"/>
      <c r="G37" s="76"/>
      <c r="H37" s="76"/>
      <c r="I37" s="76"/>
      <c r="J37" s="76"/>
      <c r="K37" s="76"/>
      <c r="L37" s="74">
        <v>718.27</v>
      </c>
      <c r="M37" s="74"/>
      <c r="N37" s="77">
        <f>'1'!N37:O37</f>
        <v>0.5</v>
      </c>
      <c r="O37" s="77"/>
      <c r="P37" s="17">
        <f t="shared" si="2"/>
        <v>4309.62</v>
      </c>
    </row>
    <row r="38" spans="2:16" x14ac:dyDescent="0.25">
      <c r="B38" s="4">
        <v>8</v>
      </c>
      <c r="C38" s="76" t="s">
        <v>20</v>
      </c>
      <c r="D38" s="76"/>
      <c r="E38" s="76"/>
      <c r="F38" s="76"/>
      <c r="G38" s="76"/>
      <c r="H38" s="76"/>
      <c r="I38" s="76"/>
      <c r="J38" s="76"/>
      <c r="K38" s="76"/>
      <c r="L38" s="74">
        <v>718.27</v>
      </c>
      <c r="M38" s="74"/>
      <c r="N38" s="77">
        <f>'1'!N38:O38</f>
        <v>1.694977</v>
      </c>
      <c r="O38" s="77"/>
      <c r="P38" s="17">
        <f t="shared" si="2"/>
        <v>14609.413557479998</v>
      </c>
    </row>
    <row r="39" spans="2:16" x14ac:dyDescent="0.25">
      <c r="B39" s="4">
        <v>9</v>
      </c>
      <c r="C39" s="76" t="s">
        <v>84</v>
      </c>
      <c r="D39" s="76"/>
      <c r="E39" s="76"/>
      <c r="F39" s="76"/>
      <c r="G39" s="76"/>
      <c r="H39" s="76"/>
      <c r="I39" s="76"/>
      <c r="J39" s="76"/>
      <c r="K39" s="76"/>
      <c r="L39" s="74">
        <v>718.27</v>
      </c>
      <c r="M39" s="74"/>
      <c r="N39" s="77">
        <f>'1'!N39:O39</f>
        <v>0.1</v>
      </c>
      <c r="O39" s="77"/>
      <c r="P39" s="17">
        <f t="shared" si="2"/>
        <v>861.92399999999998</v>
      </c>
    </row>
    <row r="40" spans="2:16" x14ac:dyDescent="0.25">
      <c r="B40" s="4">
        <v>10</v>
      </c>
      <c r="C40" s="76" t="s">
        <v>21</v>
      </c>
      <c r="D40" s="76"/>
      <c r="E40" s="76"/>
      <c r="F40" s="76"/>
      <c r="G40" s="76"/>
      <c r="H40" s="76"/>
      <c r="I40" s="76"/>
      <c r="J40" s="76"/>
      <c r="K40" s="76"/>
      <c r="L40" s="74">
        <v>718.27</v>
      </c>
      <c r="M40" s="74"/>
      <c r="N40" s="77">
        <f>'1'!N40:O40</f>
        <v>0.2</v>
      </c>
      <c r="O40" s="77"/>
      <c r="P40" s="17">
        <f t="shared" si="2"/>
        <v>1723.848</v>
      </c>
    </row>
    <row r="41" spans="2:16" x14ac:dyDescent="0.25">
      <c r="B41" s="4">
        <v>11</v>
      </c>
      <c r="C41" s="76" t="s">
        <v>22</v>
      </c>
      <c r="D41" s="76"/>
      <c r="E41" s="76"/>
      <c r="F41" s="76"/>
      <c r="G41" s="76"/>
      <c r="H41" s="76"/>
      <c r="I41" s="76"/>
      <c r="J41" s="76"/>
      <c r="K41" s="76"/>
      <c r="L41" s="74">
        <v>718.27</v>
      </c>
      <c r="M41" s="74"/>
      <c r="N41" s="77">
        <f>'1'!N41:O41</f>
        <v>0.5</v>
      </c>
      <c r="O41" s="77"/>
      <c r="P41" s="17">
        <f t="shared" si="2"/>
        <v>4309.62</v>
      </c>
    </row>
    <row r="42" spans="2:16" hidden="1" x14ac:dyDescent="0.25">
      <c r="B42" s="4">
        <v>12</v>
      </c>
      <c r="C42" s="76" t="s">
        <v>23</v>
      </c>
      <c r="D42" s="76"/>
      <c r="E42" s="76"/>
      <c r="F42" s="76"/>
      <c r="G42" s="76"/>
      <c r="H42" s="76"/>
      <c r="I42" s="76"/>
      <c r="J42" s="76"/>
      <c r="K42" s="76"/>
      <c r="L42" s="74">
        <v>718.27</v>
      </c>
      <c r="M42" s="74"/>
      <c r="N42" s="77">
        <f>'1'!N42:O42</f>
        <v>0</v>
      </c>
      <c r="O42" s="77"/>
      <c r="P42" s="17">
        <f t="shared" si="2"/>
        <v>0</v>
      </c>
    </row>
    <row r="43" spans="2:16" x14ac:dyDescent="0.25">
      <c r="B43" s="4">
        <v>12</v>
      </c>
      <c r="C43" s="76" t="s">
        <v>25</v>
      </c>
      <c r="D43" s="76"/>
      <c r="E43" s="76"/>
      <c r="F43" s="76"/>
      <c r="G43" s="76"/>
      <c r="H43" s="76"/>
      <c r="I43" s="76"/>
      <c r="J43" s="76"/>
      <c r="K43" s="76"/>
      <c r="L43" s="74">
        <v>718.27</v>
      </c>
      <c r="M43" s="74"/>
      <c r="N43" s="77">
        <f>'1'!N43:O43</f>
        <v>0.5</v>
      </c>
      <c r="O43" s="77"/>
      <c r="P43" s="17">
        <f t="shared" si="2"/>
        <v>4309.62</v>
      </c>
    </row>
    <row r="44" spans="2:16" x14ac:dyDescent="0.25">
      <c r="B44" s="38"/>
      <c r="C44" s="78" t="s">
        <v>26</v>
      </c>
      <c r="D44" s="78"/>
      <c r="E44" s="78"/>
      <c r="F44" s="78"/>
      <c r="G44" s="78"/>
      <c r="H44" s="78"/>
      <c r="I44" s="78"/>
      <c r="J44" s="78"/>
      <c r="K44" s="78"/>
      <c r="L44" s="79">
        <v>718.27</v>
      </c>
      <c r="M44" s="79"/>
      <c r="N44" s="91">
        <f>SUM(N31:O43)</f>
        <v>16.808246099999998</v>
      </c>
      <c r="O44" s="91"/>
      <c r="P44" s="39">
        <f>SUM(P31:P43)</f>
        <v>144874.30711496397</v>
      </c>
    </row>
    <row r="45" spans="2:16" hidden="1" x14ac:dyDescent="0.25">
      <c r="B45" s="90" t="s">
        <v>27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</row>
    <row r="46" spans="2:16" hidden="1" x14ac:dyDescent="0.25">
      <c r="B46" s="4">
        <v>1</v>
      </c>
      <c r="C46" s="82" t="s">
        <v>73</v>
      </c>
      <c r="D46" s="83"/>
      <c r="E46" s="83"/>
      <c r="F46" s="83"/>
      <c r="G46" s="83"/>
      <c r="H46" s="83"/>
      <c r="I46" s="83"/>
      <c r="J46" s="83"/>
      <c r="K46" s="84"/>
      <c r="L46" s="74">
        <v>718.27</v>
      </c>
      <c r="M46" s="74"/>
      <c r="N46" s="74"/>
      <c r="O46" s="74"/>
      <c r="P46" s="17">
        <f>L46*N46*6</f>
        <v>0</v>
      </c>
    </row>
    <row r="47" spans="2:16" hidden="1" x14ac:dyDescent="0.25">
      <c r="B47" s="4">
        <v>2</v>
      </c>
      <c r="C47" s="82" t="s">
        <v>74</v>
      </c>
      <c r="D47" s="83"/>
      <c r="E47" s="83"/>
      <c r="F47" s="83"/>
      <c r="G47" s="83"/>
      <c r="H47" s="83"/>
      <c r="I47" s="83"/>
      <c r="J47" s="83"/>
      <c r="K47" s="84"/>
      <c r="L47" s="74">
        <v>718.27</v>
      </c>
      <c r="M47" s="74"/>
      <c r="N47" s="74"/>
      <c r="O47" s="74"/>
      <c r="P47" s="17">
        <f t="shared" ref="P47:P49" si="3">L47*N47*6</f>
        <v>0</v>
      </c>
    </row>
    <row r="48" spans="2:16" hidden="1" x14ac:dyDescent="0.25">
      <c r="B48" s="4">
        <v>3</v>
      </c>
      <c r="C48" s="82" t="s">
        <v>88</v>
      </c>
      <c r="D48" s="83"/>
      <c r="E48" s="83"/>
      <c r="F48" s="83"/>
      <c r="G48" s="83"/>
      <c r="H48" s="83"/>
      <c r="I48" s="83"/>
      <c r="J48" s="83"/>
      <c r="K48" s="84"/>
      <c r="L48" s="74">
        <v>718.27</v>
      </c>
      <c r="M48" s="74"/>
      <c r="N48" s="77"/>
      <c r="O48" s="77"/>
      <c r="P48" s="17"/>
    </row>
    <row r="49" spans="2:16" hidden="1" x14ac:dyDescent="0.25">
      <c r="B49" s="4">
        <v>4</v>
      </c>
      <c r="C49" s="74"/>
      <c r="D49" s="74"/>
      <c r="E49" s="74"/>
      <c r="F49" s="74"/>
      <c r="G49" s="74"/>
      <c r="H49" s="74"/>
      <c r="I49" s="74"/>
      <c r="J49" s="74"/>
      <c r="K49" s="74"/>
      <c r="L49" s="74">
        <v>718.27</v>
      </c>
      <c r="M49" s="74"/>
      <c r="N49" s="74"/>
      <c r="O49" s="74"/>
      <c r="P49" s="17">
        <f t="shared" si="3"/>
        <v>0</v>
      </c>
    </row>
    <row r="50" spans="2:16" hidden="1" x14ac:dyDescent="0.25">
      <c r="B50" s="38"/>
      <c r="C50" s="86" t="s">
        <v>29</v>
      </c>
      <c r="D50" s="87"/>
      <c r="E50" s="87"/>
      <c r="F50" s="87"/>
      <c r="G50" s="87"/>
      <c r="H50" s="87"/>
      <c r="I50" s="87"/>
      <c r="J50" s="87"/>
      <c r="K50" s="88"/>
      <c r="L50" s="79">
        <v>718.27</v>
      </c>
      <c r="M50" s="79"/>
      <c r="N50" s="91">
        <f>SUM(N46:O49)</f>
        <v>0</v>
      </c>
      <c r="O50" s="91"/>
      <c r="P50" s="39">
        <f>SUM(P46:P49)</f>
        <v>0</v>
      </c>
    </row>
    <row r="51" spans="2:16" hidden="1" x14ac:dyDescent="0.25">
      <c r="B51" s="90" t="s">
        <v>30</v>
      </c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</row>
    <row r="52" spans="2:16" hidden="1" x14ac:dyDescent="0.25">
      <c r="B52" s="38"/>
      <c r="C52" s="86" t="s">
        <v>31</v>
      </c>
      <c r="D52" s="87"/>
      <c r="E52" s="87"/>
      <c r="F52" s="87"/>
      <c r="G52" s="87"/>
      <c r="H52" s="87"/>
      <c r="I52" s="87"/>
      <c r="J52" s="87"/>
      <c r="K52" s="88"/>
      <c r="L52" s="79">
        <v>718.27</v>
      </c>
      <c r="M52" s="79"/>
      <c r="N52" s="79">
        <v>0</v>
      </c>
      <c r="O52" s="79"/>
      <c r="P52" s="38">
        <v>0</v>
      </c>
    </row>
    <row r="55" spans="2:16" x14ac:dyDescent="0.25">
      <c r="C55" s="1" t="s">
        <v>38</v>
      </c>
    </row>
    <row r="56" spans="2:16" x14ac:dyDescent="0.25">
      <c r="C56" s="1" t="s">
        <v>39</v>
      </c>
    </row>
    <row r="57" spans="2:16" x14ac:dyDescent="0.25">
      <c r="C57" s="4" t="s">
        <v>94</v>
      </c>
      <c r="D57" s="22">
        <f>N44</f>
        <v>16.808246099999998</v>
      </c>
    </row>
    <row r="60" spans="2:16" x14ac:dyDescent="0.25">
      <c r="C60" s="1" t="s">
        <v>40</v>
      </c>
      <c r="D60" s="2"/>
      <c r="E60" s="2"/>
      <c r="F60" s="2"/>
      <c r="G60" s="2"/>
      <c r="J60" s="1" t="s">
        <v>41</v>
      </c>
    </row>
    <row r="63" spans="2:16" ht="24.75" customHeight="1" x14ac:dyDescent="0.25">
      <c r="C63" s="1" t="s">
        <v>42</v>
      </c>
      <c r="D63" s="2"/>
      <c r="E63" s="2"/>
      <c r="F63" s="1" t="s">
        <v>43</v>
      </c>
    </row>
    <row r="64" spans="2:16" ht="25.5" customHeight="1" x14ac:dyDescent="0.25">
      <c r="D64" s="2"/>
      <c r="E64" s="2"/>
      <c r="F64" s="1" t="s">
        <v>43</v>
      </c>
    </row>
    <row r="65" spans="4:6" ht="24.75" customHeight="1" x14ac:dyDescent="0.25">
      <c r="D65" s="2"/>
      <c r="E65" s="2"/>
      <c r="F65" s="1" t="s">
        <v>43</v>
      </c>
    </row>
  </sheetData>
  <mergeCells count="115">
    <mergeCell ref="B51:P51"/>
    <mergeCell ref="C52:K52"/>
    <mergeCell ref="L52:M52"/>
    <mergeCell ref="N52:O52"/>
    <mergeCell ref="C49:K49"/>
    <mergeCell ref="L49:M49"/>
    <mergeCell ref="N49:O49"/>
    <mergeCell ref="C50:K50"/>
    <mergeCell ref="L50:M50"/>
    <mergeCell ref="N50:O50"/>
    <mergeCell ref="B45:P45"/>
    <mergeCell ref="C46:K46"/>
    <mergeCell ref="L46:M46"/>
    <mergeCell ref="N46:O46"/>
    <mergeCell ref="C47:K47"/>
    <mergeCell ref="L47:M47"/>
    <mergeCell ref="N47:O47"/>
    <mergeCell ref="C48:K48"/>
    <mergeCell ref="L48:M48"/>
    <mergeCell ref="N48:O48"/>
    <mergeCell ref="C42:K42"/>
    <mergeCell ref="L42:M42"/>
    <mergeCell ref="N42:O42"/>
    <mergeCell ref="C43:K43"/>
    <mergeCell ref="L43:M43"/>
    <mergeCell ref="N43:O43"/>
    <mergeCell ref="C44:K44"/>
    <mergeCell ref="L44:M44"/>
    <mergeCell ref="N44:O44"/>
    <mergeCell ref="C39:K39"/>
    <mergeCell ref="L39:M39"/>
    <mergeCell ref="N39:O39"/>
    <mergeCell ref="C40:K40"/>
    <mergeCell ref="L40:M40"/>
    <mergeCell ref="N40:O40"/>
    <mergeCell ref="C41:K41"/>
    <mergeCell ref="L41:M41"/>
    <mergeCell ref="N41:O41"/>
    <mergeCell ref="C36:K36"/>
    <mergeCell ref="L36:M36"/>
    <mergeCell ref="N36:O36"/>
    <mergeCell ref="C37:K37"/>
    <mergeCell ref="L37:M37"/>
    <mergeCell ref="N37:O37"/>
    <mergeCell ref="C38:K38"/>
    <mergeCell ref="L38:M38"/>
    <mergeCell ref="N38:O38"/>
    <mergeCell ref="C33:K33"/>
    <mergeCell ref="L33:M33"/>
    <mergeCell ref="N33:O33"/>
    <mergeCell ref="C34:K34"/>
    <mergeCell ref="L34:M34"/>
    <mergeCell ref="N34:O34"/>
    <mergeCell ref="C35:K35"/>
    <mergeCell ref="L35:M35"/>
    <mergeCell ref="N35:O35"/>
    <mergeCell ref="C29:K29"/>
    <mergeCell ref="L29:M29"/>
    <mergeCell ref="N29:O29"/>
    <mergeCell ref="B30:P30"/>
    <mergeCell ref="C31:K31"/>
    <mergeCell ref="L31:M31"/>
    <mergeCell ref="N31:O31"/>
    <mergeCell ref="C32:K32"/>
    <mergeCell ref="L32:M32"/>
    <mergeCell ref="N32:O32"/>
    <mergeCell ref="C28:K28"/>
    <mergeCell ref="L28:M28"/>
    <mergeCell ref="N28:O28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2:E22"/>
    <mergeCell ref="B2:V2"/>
    <mergeCell ref="B3:V3"/>
    <mergeCell ref="B4:V4"/>
    <mergeCell ref="P12:Q12"/>
    <mergeCell ref="P13:Q13"/>
    <mergeCell ref="P14:Q14"/>
    <mergeCell ref="P15:Q15"/>
    <mergeCell ref="P16:Q16"/>
    <mergeCell ref="T12:U12"/>
    <mergeCell ref="T13:U13"/>
    <mergeCell ref="T14:U14"/>
    <mergeCell ref="T15:U15"/>
    <mergeCell ref="T16:U16"/>
    <mergeCell ref="T18:U18"/>
    <mergeCell ref="T19:U19"/>
    <mergeCell ref="T20:U20"/>
    <mergeCell ref="T22:U22"/>
    <mergeCell ref="P18:Q18"/>
    <mergeCell ref="P19:Q19"/>
    <mergeCell ref="P20:Q20"/>
    <mergeCell ref="P22:Q22"/>
    <mergeCell ref="R12:S12"/>
    <mergeCell ref="R13:S13"/>
    <mergeCell ref="R14:S14"/>
    <mergeCell ref="R15:S15"/>
    <mergeCell ref="R16:S16"/>
    <mergeCell ref="R18:S18"/>
    <mergeCell ref="R19:S19"/>
    <mergeCell ref="R20:S20"/>
    <mergeCell ref="R22:S22"/>
    <mergeCell ref="P17:Q17"/>
    <mergeCell ref="R17:S17"/>
    <mergeCell ref="T17:U17"/>
    <mergeCell ref="P21:Q21"/>
    <mergeCell ref="R21:S21"/>
    <mergeCell ref="T21:U21"/>
  </mergeCells>
  <pageMargins left="0.25" right="0.25" top="0.75" bottom="0.75" header="0.3" footer="0.3"/>
  <pageSetup paperSize="9" scale="4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B1:V65"/>
  <sheetViews>
    <sheetView view="pageBreakPreview" topLeftCell="A10" zoomScale="82" zoomScaleNormal="84" zoomScaleSheetLayoutView="82" workbookViewId="0">
      <selection activeCell="L17" sqref="L17"/>
    </sheetView>
  </sheetViews>
  <sheetFormatPr defaultRowHeight="15.75" x14ac:dyDescent="0.25"/>
  <cols>
    <col min="1" max="1" width="2.85546875" style="1" customWidth="1"/>
    <col min="2" max="2" width="4" style="1" bestFit="1" customWidth="1"/>
    <col min="3" max="3" width="37.7109375" style="1" customWidth="1"/>
    <col min="4" max="4" width="13.28515625" style="1" customWidth="1"/>
    <col min="5" max="6" width="11" style="1" customWidth="1"/>
    <col min="7" max="7" width="1.5703125" style="1" hidden="1" customWidth="1"/>
    <col min="8" max="8" width="12.5703125" style="1" hidden="1" customWidth="1"/>
    <col min="9" max="9" width="1.5703125" style="1" customWidth="1"/>
    <col min="10" max="10" width="11.85546875" style="1" customWidth="1"/>
    <col min="11" max="11" width="2.28515625" style="1" customWidth="1"/>
    <col min="12" max="12" width="12.140625" style="1" customWidth="1"/>
    <col min="13" max="13" width="1.5703125" style="1" customWidth="1"/>
    <col min="14" max="14" width="15.7109375" style="1" customWidth="1"/>
    <col min="15" max="15" width="1.7109375" style="1" customWidth="1"/>
    <col min="16" max="16" width="12" style="1" customWidth="1"/>
    <col min="17" max="17" width="10.28515625" style="1" customWidth="1"/>
    <col min="18" max="18" width="12.28515625" style="1" customWidth="1"/>
    <col min="19" max="19" width="10.28515625" style="1" customWidth="1"/>
    <col min="20" max="20" width="14.5703125" style="1" customWidth="1"/>
    <col min="21" max="21" width="10.85546875" style="1" customWidth="1"/>
    <col min="22" max="22" width="12" style="1" customWidth="1"/>
    <col min="23" max="16384" width="9.140625" style="1"/>
  </cols>
  <sheetData>
    <row r="1" spans="2:22" ht="16.5" thickBot="1" x14ac:dyDescent="0.3"/>
    <row r="2" spans="2:22" x14ac:dyDescent="0.25">
      <c r="B2" s="63" t="s">
        <v>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5"/>
    </row>
    <row r="3" spans="2:22" x14ac:dyDescent="0.25">
      <c r="B3" s="66" t="str">
        <f>'1'!B3:V3</f>
        <v>с 1.01.2016 по 31.12.2016 г.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/>
    </row>
    <row r="4" spans="2:22" ht="16.5" thickBot="1" x14ac:dyDescent="0.3">
      <c r="B4" s="69" t="s">
        <v>32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1"/>
    </row>
    <row r="5" spans="2:22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2:22" x14ac:dyDescent="0.25">
      <c r="C6" s="29" t="s">
        <v>53</v>
      </c>
    </row>
    <row r="8" spans="2:22" x14ac:dyDescent="0.25">
      <c r="C8" s="1" t="s">
        <v>33</v>
      </c>
      <c r="D8" s="2">
        <v>718.25</v>
      </c>
    </row>
    <row r="9" spans="2:22" x14ac:dyDescent="0.25">
      <c r="C9" s="1" t="s">
        <v>35</v>
      </c>
      <c r="D9" s="3">
        <v>41</v>
      </c>
    </row>
    <row r="10" spans="2:22" x14ac:dyDescent="0.25">
      <c r="C10" s="1" t="s">
        <v>36</v>
      </c>
      <c r="D10" s="3">
        <v>16</v>
      </c>
    </row>
    <row r="12" spans="2:22" ht="47.25" x14ac:dyDescent="0.25">
      <c r="C12" s="27" t="s">
        <v>1</v>
      </c>
      <c r="D12" s="59" t="str">
        <f>'1'!D12:E12</f>
        <v>Содержание общего имущества дома</v>
      </c>
      <c r="E12" s="60"/>
      <c r="F12" s="27" t="s">
        <v>8</v>
      </c>
      <c r="G12" s="7"/>
      <c r="H12" s="27" t="s">
        <v>9</v>
      </c>
      <c r="I12" s="7"/>
      <c r="J12" s="28" t="str">
        <f>'1'!J12</f>
        <v>Вывоз ТБО (руб./чел.)</v>
      </c>
      <c r="K12" s="7"/>
      <c r="L12" s="28" t="s">
        <v>67</v>
      </c>
      <c r="M12" s="7"/>
      <c r="N12" s="28" t="str">
        <f>'1'!N12</f>
        <v>Обслуживание антены (руб./лиц.сч.)</v>
      </c>
      <c r="O12" s="8"/>
      <c r="P12" s="59" t="str">
        <f>'1'!P12</f>
        <v xml:space="preserve">Хол. вода </v>
      </c>
      <c r="Q12" s="60"/>
      <c r="R12" s="59" t="str">
        <f>'1'!R12</f>
        <v xml:space="preserve">Гор. вода </v>
      </c>
      <c r="S12" s="60"/>
      <c r="T12" s="59" t="str">
        <f>'1'!T12</f>
        <v>Канализация</v>
      </c>
      <c r="U12" s="60"/>
      <c r="V12" s="27" t="s">
        <v>10</v>
      </c>
    </row>
    <row r="13" spans="2:22" x14ac:dyDescent="0.25">
      <c r="C13" s="9" t="s">
        <v>2</v>
      </c>
      <c r="D13" s="57"/>
      <c r="E13" s="58"/>
      <c r="F13" s="11"/>
      <c r="G13" s="7"/>
      <c r="H13" s="11"/>
      <c r="I13" s="7"/>
      <c r="J13" s="11"/>
      <c r="K13" s="7"/>
      <c r="L13" s="11"/>
      <c r="M13" s="7"/>
      <c r="N13" s="11"/>
      <c r="O13" s="7"/>
      <c r="P13" s="57"/>
      <c r="Q13" s="58"/>
      <c r="R13" s="57"/>
      <c r="S13" s="58"/>
      <c r="T13" s="57"/>
      <c r="U13" s="58"/>
      <c r="V13" s="30">
        <f>V14</f>
        <v>-292703.07</v>
      </c>
    </row>
    <row r="14" spans="2:22" ht="47.25" x14ac:dyDescent="0.25">
      <c r="C14" s="10" t="str">
        <f>'1'!C14</f>
        <v>Остаток с предыдущего периода (задолженность(-), переплата (+)) на 01.01.2016г.</v>
      </c>
      <c r="D14" s="57"/>
      <c r="E14" s="58"/>
      <c r="F14" s="11">
        <v>-62801.760000000002</v>
      </c>
      <c r="G14" s="7"/>
      <c r="H14" s="11">
        <v>0</v>
      </c>
      <c r="I14" s="7"/>
      <c r="J14" s="11">
        <v>-8041.23</v>
      </c>
      <c r="K14" s="7"/>
      <c r="L14" s="11">
        <v>-154359.84</v>
      </c>
      <c r="M14" s="7"/>
      <c r="N14" s="11">
        <v>-3997.04</v>
      </c>
      <c r="O14" s="7"/>
      <c r="P14" s="57">
        <v>-6304.32</v>
      </c>
      <c r="Q14" s="58"/>
      <c r="R14" s="61">
        <v>-39790.699999999997</v>
      </c>
      <c r="S14" s="62"/>
      <c r="T14" s="61">
        <v>-17408.18</v>
      </c>
      <c r="U14" s="62"/>
      <c r="V14" s="14">
        <f>F14+H14+J14+L14+N14+P14+R14+S14+T14+U14+Q14</f>
        <v>-292703.07</v>
      </c>
    </row>
    <row r="15" spans="2:22" x14ac:dyDescent="0.25">
      <c r="C15" s="9" t="s">
        <v>3</v>
      </c>
      <c r="D15" s="57"/>
      <c r="E15" s="58"/>
      <c r="F15" s="11">
        <v>130181.16</v>
      </c>
      <c r="G15" s="7"/>
      <c r="H15" s="14"/>
      <c r="I15" s="7"/>
      <c r="J15" s="11">
        <v>17729.32</v>
      </c>
      <c r="K15" s="7"/>
      <c r="L15" s="11">
        <v>346159.5</v>
      </c>
      <c r="M15" s="7"/>
      <c r="N15" s="11">
        <v>7100</v>
      </c>
      <c r="O15" s="7"/>
      <c r="P15" s="61">
        <f>13586.53+571.17</f>
        <v>14157.7</v>
      </c>
      <c r="Q15" s="62"/>
      <c r="R15" s="61">
        <f>97793.76+2481.02</f>
        <v>100274.78</v>
      </c>
      <c r="S15" s="62"/>
      <c r="T15" s="61">
        <f>16875.57+18410.48</f>
        <v>35286.050000000003</v>
      </c>
      <c r="U15" s="62"/>
      <c r="V15" s="14">
        <f>F15+H15+J15+L15+N15+P15+R15+S15+T15+U15+Q15</f>
        <v>650888.51</v>
      </c>
    </row>
    <row r="16" spans="2:22" x14ac:dyDescent="0.25">
      <c r="C16" s="9" t="s">
        <v>4</v>
      </c>
      <c r="D16" s="57"/>
      <c r="E16" s="58"/>
      <c r="F16" s="11">
        <f>4149.47+151846.85</f>
        <v>155996.32</v>
      </c>
      <c r="G16" s="7"/>
      <c r="H16" s="14"/>
      <c r="I16" s="7"/>
      <c r="J16" s="14">
        <v>20656.580000000002</v>
      </c>
      <c r="K16" s="7"/>
      <c r="L16" s="14">
        <v>409060.62</v>
      </c>
      <c r="M16" s="7"/>
      <c r="N16" s="18">
        <v>8502.4699999999993</v>
      </c>
      <c r="O16" s="7"/>
      <c r="P16" s="61">
        <f>14253.11+189.39</f>
        <v>14442.5</v>
      </c>
      <c r="Q16" s="62"/>
      <c r="R16" s="61">
        <f>110807.16+799.97</f>
        <v>111607.13</v>
      </c>
      <c r="S16" s="62"/>
      <c r="T16" s="61">
        <f>22551.08+17054.17</f>
        <v>39605.25</v>
      </c>
      <c r="U16" s="62"/>
      <c r="V16" s="14">
        <f t="shared" ref="V16:V17" si="0">F16+H16+J16+L16+N16+P16+R16+S16+T16+U16+Q16</f>
        <v>759870.87</v>
      </c>
    </row>
    <row r="17" spans="2:22" ht="31.5" x14ac:dyDescent="0.25">
      <c r="C17" s="10" t="s">
        <v>5</v>
      </c>
      <c r="D17" s="57"/>
      <c r="E17" s="58"/>
      <c r="F17" s="14">
        <f>P44+P50</f>
        <v>144870.2731359</v>
      </c>
      <c r="G17" s="7"/>
      <c r="H17" s="11">
        <f>P52</f>
        <v>0</v>
      </c>
      <c r="I17" s="7"/>
      <c r="J17" s="11">
        <f>J15+18637.28</f>
        <v>36366.6</v>
      </c>
      <c r="K17" s="7"/>
      <c r="L17" s="14">
        <f>(D8*L20*6)+(D8*L21*6)</f>
        <v>347431.89</v>
      </c>
      <c r="M17" s="7"/>
      <c r="N17" s="18">
        <f>'1'!N17</f>
        <v>11336.326999999999</v>
      </c>
      <c r="O17" s="7"/>
      <c r="P17" s="61">
        <f>P15+Q15+114670.71</f>
        <v>128828.41</v>
      </c>
      <c r="Q17" s="62"/>
      <c r="R17" s="61">
        <f>R15+S15</f>
        <v>100274.78</v>
      </c>
      <c r="S17" s="62"/>
      <c r="T17" s="61">
        <f>T15+U15</f>
        <v>35286.050000000003</v>
      </c>
      <c r="U17" s="62"/>
      <c r="V17" s="14">
        <f t="shared" si="0"/>
        <v>804394.33013590018</v>
      </c>
    </row>
    <row r="18" spans="2:22" ht="31.5" x14ac:dyDescent="0.25">
      <c r="C18" s="10" t="str">
        <f>'1'!C18</f>
        <v>Текущий остаток (задолженность (-), переплата (+)) на 31.12.2016 г.</v>
      </c>
      <c r="D18" s="57"/>
      <c r="E18" s="58"/>
      <c r="F18" s="33">
        <f>F16-F15+F14</f>
        <v>-36986.6</v>
      </c>
      <c r="G18" s="32"/>
      <c r="H18" s="31">
        <f>H16-H15+H14</f>
        <v>0</v>
      </c>
      <c r="I18" s="40"/>
      <c r="J18" s="31">
        <f>J16-J15+J14</f>
        <v>-5113.9699999999975</v>
      </c>
      <c r="K18" s="40"/>
      <c r="L18" s="31">
        <f>L16-L15+L14</f>
        <v>-91458.72</v>
      </c>
      <c r="M18" s="40"/>
      <c r="N18" s="31">
        <f>N16-N15+N14</f>
        <v>-2594.5700000000006</v>
      </c>
      <c r="O18" s="40"/>
      <c r="P18" s="55">
        <f>P16-P15+P14</f>
        <v>-6019.52</v>
      </c>
      <c r="Q18" s="56"/>
      <c r="R18" s="55">
        <f>R16-R15+R14</f>
        <v>-28458.349999999991</v>
      </c>
      <c r="S18" s="56"/>
      <c r="T18" s="55">
        <f t="shared" ref="T18:V18" si="1">T16-T15+T14</f>
        <v>-13088.980000000003</v>
      </c>
      <c r="U18" s="56"/>
      <c r="V18" s="31">
        <f t="shared" si="1"/>
        <v>-183720.71000000002</v>
      </c>
    </row>
    <row r="19" spans="2:22" x14ac:dyDescent="0.25">
      <c r="C19" s="9" t="s">
        <v>6</v>
      </c>
      <c r="D19" s="57"/>
      <c r="E19" s="58"/>
      <c r="F19" s="11"/>
      <c r="G19" s="7"/>
      <c r="H19" s="11"/>
      <c r="I19" s="7"/>
      <c r="J19" s="11"/>
      <c r="K19" s="7"/>
      <c r="L19" s="11"/>
      <c r="M19" s="7"/>
      <c r="N19" s="11"/>
      <c r="O19" s="7"/>
      <c r="P19" s="57"/>
      <c r="Q19" s="58"/>
      <c r="R19" s="57"/>
      <c r="S19" s="58"/>
      <c r="T19" s="57"/>
      <c r="U19" s="58"/>
      <c r="V19" s="30">
        <f>F18+H18+J18+L18+N18+P18+Q18+R18+S18+T18+U18</f>
        <v>-183720.71</v>
      </c>
    </row>
    <row r="20" spans="2:22" x14ac:dyDescent="0.25">
      <c r="C20" s="9" t="str">
        <f>'1'!C20</f>
        <v>Тариф (руб/м²), 1-е полугодие</v>
      </c>
      <c r="D20" s="57"/>
      <c r="E20" s="58"/>
      <c r="F20" s="13">
        <f>'1'!F20</f>
        <v>15.31</v>
      </c>
      <c r="G20" s="7"/>
      <c r="H20" s="11">
        <f>'1'!H20</f>
        <v>37.700000000000003</v>
      </c>
      <c r="I20" s="7"/>
      <c r="J20" s="13">
        <f>'1'!J20</f>
        <v>44.32</v>
      </c>
      <c r="K20" s="7"/>
      <c r="L20" s="11">
        <v>39.74</v>
      </c>
      <c r="M20" s="7"/>
      <c r="N20" s="11">
        <f>'1'!N20</f>
        <v>50</v>
      </c>
      <c r="O20" s="7"/>
      <c r="P20" s="57" t="str">
        <f>'1'!P20</f>
        <v xml:space="preserve">15,02 руб./м3 </v>
      </c>
      <c r="Q20" s="58"/>
      <c r="R20" s="57" t="str">
        <f>'1'!R20</f>
        <v>99,55 руб./м3</v>
      </c>
      <c r="S20" s="58"/>
      <c r="T20" s="57" t="str">
        <f>'1'!T20</f>
        <v>18,66 руб./м3</v>
      </c>
      <c r="U20" s="58"/>
      <c r="V20" s="11"/>
    </row>
    <row r="21" spans="2:22" x14ac:dyDescent="0.25">
      <c r="C21" s="9" t="str">
        <f>'1'!C21</f>
        <v>Тариф (руб/м²), 2-е полугодие</v>
      </c>
      <c r="D21" s="50"/>
      <c r="E21" s="51"/>
      <c r="F21" s="21">
        <f>'1'!F21</f>
        <v>15.31</v>
      </c>
      <c r="G21" s="7"/>
      <c r="H21" s="21"/>
      <c r="I21" s="7"/>
      <c r="J21" s="21">
        <f>'1'!J21</f>
        <v>44.32</v>
      </c>
      <c r="K21" s="7"/>
      <c r="L21" s="21">
        <f>'12'!L21</f>
        <v>40.880000000000003</v>
      </c>
      <c r="M21" s="7"/>
      <c r="N21" s="21">
        <f>'1'!N21</f>
        <v>50</v>
      </c>
      <c r="O21" s="7"/>
      <c r="P21" s="57" t="str">
        <f>'1'!P21:Q21</f>
        <v>15,63 руб./м³</v>
      </c>
      <c r="Q21" s="58"/>
      <c r="R21" s="57" t="str">
        <f>'1'!R21:S21</f>
        <v>102,59 руб./м³</v>
      </c>
      <c r="S21" s="58"/>
      <c r="T21" s="57" t="str">
        <f>'1'!T21:U21</f>
        <v>19,41 руб./м³</v>
      </c>
      <c r="U21" s="58"/>
      <c r="V21" s="21"/>
    </row>
    <row r="22" spans="2:22" x14ac:dyDescent="0.25">
      <c r="C22" s="9" t="s">
        <v>44</v>
      </c>
      <c r="D22" s="57"/>
      <c r="E22" s="58"/>
      <c r="F22" s="14">
        <f>N44+N50</f>
        <v>16.808246099999998</v>
      </c>
      <c r="G22" s="7"/>
      <c r="H22" s="11"/>
      <c r="I22" s="7"/>
      <c r="J22" s="11"/>
      <c r="K22" s="7"/>
      <c r="L22" s="11"/>
      <c r="M22" s="7"/>
      <c r="N22" s="11"/>
      <c r="O22" s="7"/>
      <c r="P22" s="57"/>
      <c r="Q22" s="58"/>
      <c r="R22" s="57"/>
      <c r="S22" s="58"/>
      <c r="T22" s="57"/>
      <c r="U22" s="58"/>
      <c r="V22" s="11"/>
    </row>
    <row r="24" spans="2:22" x14ac:dyDescent="0.25">
      <c r="C24" s="5" t="s">
        <v>11</v>
      </c>
    </row>
    <row r="25" spans="2:22" x14ac:dyDescent="0.25">
      <c r="C25" s="1" t="s">
        <v>12</v>
      </c>
      <c r="J25" s="34">
        <f>V19/V15*100</f>
        <v>-28.226141217333822</v>
      </c>
      <c r="K25" s="35" t="s">
        <v>37</v>
      </c>
    </row>
    <row r="28" spans="2:22" ht="33" customHeight="1" x14ac:dyDescent="0.25">
      <c r="B28" s="27" t="s">
        <v>13</v>
      </c>
      <c r="C28" s="72" t="s">
        <v>14</v>
      </c>
      <c r="D28" s="72"/>
      <c r="E28" s="72"/>
      <c r="F28" s="72"/>
      <c r="G28" s="72"/>
      <c r="H28" s="72"/>
      <c r="I28" s="72"/>
      <c r="J28" s="72"/>
      <c r="K28" s="72"/>
      <c r="L28" s="73" t="s">
        <v>45</v>
      </c>
      <c r="M28" s="73"/>
      <c r="N28" s="73" t="s">
        <v>46</v>
      </c>
      <c r="O28" s="73"/>
      <c r="P28" s="27" t="s">
        <v>28</v>
      </c>
    </row>
    <row r="29" spans="2:22" x14ac:dyDescent="0.25">
      <c r="B29" s="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4"/>
    </row>
    <row r="30" spans="2:22" x14ac:dyDescent="0.25">
      <c r="B30" s="90" t="s">
        <v>7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</row>
    <row r="31" spans="2:22" x14ac:dyDescent="0.25">
      <c r="B31" s="4">
        <v>1</v>
      </c>
      <c r="C31" s="76" t="s">
        <v>15</v>
      </c>
      <c r="D31" s="76"/>
      <c r="E31" s="76"/>
      <c r="F31" s="76"/>
      <c r="G31" s="76"/>
      <c r="H31" s="76"/>
      <c r="I31" s="76"/>
      <c r="J31" s="76"/>
      <c r="K31" s="76"/>
      <c r="L31" s="74">
        <v>718.25</v>
      </c>
      <c r="M31" s="74"/>
      <c r="N31" s="77">
        <f>'1'!N31:O31</f>
        <v>3.5</v>
      </c>
      <c r="O31" s="77"/>
      <c r="P31" s="17">
        <f>L31*N31*12</f>
        <v>30166.5</v>
      </c>
    </row>
    <row r="32" spans="2:22" x14ac:dyDescent="0.25">
      <c r="B32" s="4">
        <v>2</v>
      </c>
      <c r="C32" s="76" t="s">
        <v>34</v>
      </c>
      <c r="D32" s="76"/>
      <c r="E32" s="76"/>
      <c r="F32" s="76"/>
      <c r="G32" s="76"/>
      <c r="H32" s="76"/>
      <c r="I32" s="76"/>
      <c r="J32" s="76"/>
      <c r="K32" s="76"/>
      <c r="L32" s="74">
        <v>718.25</v>
      </c>
      <c r="M32" s="74"/>
      <c r="N32" s="77">
        <f>'1'!N32:O32</f>
        <v>0.98752150000000005</v>
      </c>
      <c r="O32" s="77"/>
      <c r="P32" s="17">
        <f t="shared" ref="P32:P43" si="2">L32*N32*12</f>
        <v>8511.447808500001</v>
      </c>
    </row>
    <row r="33" spans="2:16" x14ac:dyDescent="0.25">
      <c r="B33" s="4">
        <v>3</v>
      </c>
      <c r="C33" s="76" t="s">
        <v>16</v>
      </c>
      <c r="D33" s="76"/>
      <c r="E33" s="76"/>
      <c r="F33" s="76"/>
      <c r="G33" s="76"/>
      <c r="H33" s="76"/>
      <c r="I33" s="76"/>
      <c r="J33" s="76"/>
      <c r="K33" s="76"/>
      <c r="L33" s="74">
        <v>718.25</v>
      </c>
      <c r="M33" s="74"/>
      <c r="N33" s="77">
        <f>'1'!N33:O33</f>
        <v>2.8257476000000001</v>
      </c>
      <c r="O33" s="77"/>
      <c r="P33" s="17">
        <f t="shared" si="2"/>
        <v>24355.118564400003</v>
      </c>
    </row>
    <row r="34" spans="2:16" x14ac:dyDescent="0.25">
      <c r="B34" s="4">
        <v>4</v>
      </c>
      <c r="C34" s="76" t="s">
        <v>17</v>
      </c>
      <c r="D34" s="76"/>
      <c r="E34" s="76"/>
      <c r="F34" s="76"/>
      <c r="G34" s="76"/>
      <c r="H34" s="76"/>
      <c r="I34" s="76"/>
      <c r="J34" s="76"/>
      <c r="K34" s="76"/>
      <c r="L34" s="74">
        <v>718.25</v>
      </c>
      <c r="M34" s="74"/>
      <c r="N34" s="77">
        <f>'1'!N34:O34</f>
        <v>1</v>
      </c>
      <c r="O34" s="77"/>
      <c r="P34" s="17">
        <f t="shared" si="2"/>
        <v>8619</v>
      </c>
    </row>
    <row r="35" spans="2:16" x14ac:dyDescent="0.25">
      <c r="B35" s="4">
        <v>5</v>
      </c>
      <c r="C35" s="76" t="s">
        <v>18</v>
      </c>
      <c r="D35" s="76"/>
      <c r="E35" s="76"/>
      <c r="F35" s="76"/>
      <c r="G35" s="76"/>
      <c r="H35" s="76"/>
      <c r="I35" s="76"/>
      <c r="J35" s="76"/>
      <c r="K35" s="76"/>
      <c r="L35" s="74">
        <v>718.25</v>
      </c>
      <c r="M35" s="74"/>
      <c r="N35" s="77">
        <f>'1'!N35:O35</f>
        <v>2</v>
      </c>
      <c r="O35" s="77"/>
      <c r="P35" s="17">
        <f t="shared" si="2"/>
        <v>17238</v>
      </c>
    </row>
    <row r="36" spans="2:16" x14ac:dyDescent="0.25">
      <c r="B36" s="4">
        <v>6</v>
      </c>
      <c r="C36" s="76" t="s">
        <v>24</v>
      </c>
      <c r="D36" s="76"/>
      <c r="E36" s="76"/>
      <c r="F36" s="76"/>
      <c r="G36" s="76"/>
      <c r="H36" s="76"/>
      <c r="I36" s="76"/>
      <c r="J36" s="76"/>
      <c r="K36" s="76"/>
      <c r="L36" s="74">
        <v>718.25</v>
      </c>
      <c r="M36" s="74"/>
      <c r="N36" s="77">
        <f>'1'!N36:O36</f>
        <v>3</v>
      </c>
      <c r="O36" s="77"/>
      <c r="P36" s="17">
        <f t="shared" si="2"/>
        <v>25857</v>
      </c>
    </row>
    <row r="37" spans="2:16" x14ac:dyDescent="0.25">
      <c r="B37" s="4">
        <v>7</v>
      </c>
      <c r="C37" s="76" t="s">
        <v>19</v>
      </c>
      <c r="D37" s="76"/>
      <c r="E37" s="76"/>
      <c r="F37" s="76"/>
      <c r="G37" s="76"/>
      <c r="H37" s="76"/>
      <c r="I37" s="76"/>
      <c r="J37" s="76"/>
      <c r="K37" s="76"/>
      <c r="L37" s="74">
        <v>718.25</v>
      </c>
      <c r="M37" s="74"/>
      <c r="N37" s="77">
        <f>'1'!N37:O37</f>
        <v>0.5</v>
      </c>
      <c r="O37" s="77"/>
      <c r="P37" s="17">
        <f t="shared" si="2"/>
        <v>4309.5</v>
      </c>
    </row>
    <row r="38" spans="2:16" x14ac:dyDescent="0.25">
      <c r="B38" s="4">
        <v>8</v>
      </c>
      <c r="C38" s="76" t="s">
        <v>20</v>
      </c>
      <c r="D38" s="76"/>
      <c r="E38" s="76"/>
      <c r="F38" s="76"/>
      <c r="G38" s="76"/>
      <c r="H38" s="76"/>
      <c r="I38" s="76"/>
      <c r="J38" s="76"/>
      <c r="K38" s="76"/>
      <c r="L38" s="74">
        <v>718.25</v>
      </c>
      <c r="M38" s="74"/>
      <c r="N38" s="77">
        <f>'1'!N38:O38</f>
        <v>1.694977</v>
      </c>
      <c r="O38" s="77"/>
      <c r="P38" s="17">
        <f t="shared" si="2"/>
        <v>14609.006762999998</v>
      </c>
    </row>
    <row r="39" spans="2:16" x14ac:dyDescent="0.25">
      <c r="B39" s="4">
        <v>9</v>
      </c>
      <c r="C39" s="76" t="s">
        <v>84</v>
      </c>
      <c r="D39" s="76"/>
      <c r="E39" s="76"/>
      <c r="F39" s="76"/>
      <c r="G39" s="76"/>
      <c r="H39" s="76"/>
      <c r="I39" s="76"/>
      <c r="J39" s="76"/>
      <c r="K39" s="76"/>
      <c r="L39" s="74">
        <v>718.25</v>
      </c>
      <c r="M39" s="74"/>
      <c r="N39" s="77">
        <f>'1'!N39:O39</f>
        <v>0.1</v>
      </c>
      <c r="O39" s="77"/>
      <c r="P39" s="17">
        <f t="shared" si="2"/>
        <v>861.90000000000009</v>
      </c>
    </row>
    <row r="40" spans="2:16" x14ac:dyDescent="0.25">
      <c r="B40" s="4">
        <v>10</v>
      </c>
      <c r="C40" s="76" t="s">
        <v>21</v>
      </c>
      <c r="D40" s="76"/>
      <c r="E40" s="76"/>
      <c r="F40" s="76"/>
      <c r="G40" s="76"/>
      <c r="H40" s="76"/>
      <c r="I40" s="76"/>
      <c r="J40" s="76"/>
      <c r="K40" s="76"/>
      <c r="L40" s="74">
        <v>718.25</v>
      </c>
      <c r="M40" s="74"/>
      <c r="N40" s="77">
        <f>'1'!N40:O40</f>
        <v>0.2</v>
      </c>
      <c r="O40" s="77"/>
      <c r="P40" s="17">
        <f t="shared" si="2"/>
        <v>1723.8000000000002</v>
      </c>
    </row>
    <row r="41" spans="2:16" x14ac:dyDescent="0.25">
      <c r="B41" s="4">
        <v>11</v>
      </c>
      <c r="C41" s="76" t="s">
        <v>22</v>
      </c>
      <c r="D41" s="76"/>
      <c r="E41" s="76"/>
      <c r="F41" s="76"/>
      <c r="G41" s="76"/>
      <c r="H41" s="76"/>
      <c r="I41" s="76"/>
      <c r="J41" s="76"/>
      <c r="K41" s="76"/>
      <c r="L41" s="74">
        <v>718.25</v>
      </c>
      <c r="M41" s="74"/>
      <c r="N41" s="77">
        <f>'1'!N41:O41</f>
        <v>0.5</v>
      </c>
      <c r="O41" s="77"/>
      <c r="P41" s="17">
        <f t="shared" si="2"/>
        <v>4309.5</v>
      </c>
    </row>
    <row r="42" spans="2:16" hidden="1" x14ac:dyDescent="0.25">
      <c r="B42" s="4">
        <v>12</v>
      </c>
      <c r="C42" s="76" t="s">
        <v>23</v>
      </c>
      <c r="D42" s="76"/>
      <c r="E42" s="76"/>
      <c r="F42" s="76"/>
      <c r="G42" s="76"/>
      <c r="H42" s="76"/>
      <c r="I42" s="76"/>
      <c r="J42" s="76"/>
      <c r="K42" s="76"/>
      <c r="L42" s="74">
        <v>718.25</v>
      </c>
      <c r="M42" s="74"/>
      <c r="N42" s="77">
        <f>'1'!N42:O42</f>
        <v>0</v>
      </c>
      <c r="O42" s="77"/>
      <c r="P42" s="17">
        <f t="shared" si="2"/>
        <v>0</v>
      </c>
    </row>
    <row r="43" spans="2:16" x14ac:dyDescent="0.25">
      <c r="B43" s="4">
        <v>12</v>
      </c>
      <c r="C43" s="76" t="s">
        <v>25</v>
      </c>
      <c r="D43" s="76"/>
      <c r="E43" s="76"/>
      <c r="F43" s="76"/>
      <c r="G43" s="76"/>
      <c r="H43" s="76"/>
      <c r="I43" s="76"/>
      <c r="J43" s="76"/>
      <c r="K43" s="76"/>
      <c r="L43" s="74">
        <v>718.25</v>
      </c>
      <c r="M43" s="74"/>
      <c r="N43" s="77">
        <f>'1'!N43:O43</f>
        <v>0.5</v>
      </c>
      <c r="O43" s="77"/>
      <c r="P43" s="17">
        <f t="shared" si="2"/>
        <v>4309.5</v>
      </c>
    </row>
    <row r="44" spans="2:16" x14ac:dyDescent="0.25">
      <c r="B44" s="38"/>
      <c r="C44" s="78" t="s">
        <v>26</v>
      </c>
      <c r="D44" s="78"/>
      <c r="E44" s="78"/>
      <c r="F44" s="78"/>
      <c r="G44" s="78"/>
      <c r="H44" s="78"/>
      <c r="I44" s="78"/>
      <c r="J44" s="78"/>
      <c r="K44" s="78"/>
      <c r="L44" s="79">
        <v>718.25</v>
      </c>
      <c r="M44" s="79"/>
      <c r="N44" s="91">
        <f>SUM(N31:O43)</f>
        <v>16.808246099999998</v>
      </c>
      <c r="O44" s="91"/>
      <c r="P44" s="39">
        <f>SUM(P31:P43)</f>
        <v>144870.2731359</v>
      </c>
    </row>
    <row r="45" spans="2:16" hidden="1" x14ac:dyDescent="0.25">
      <c r="B45" s="90" t="s">
        <v>27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</row>
    <row r="46" spans="2:16" hidden="1" x14ac:dyDescent="0.25">
      <c r="B46" s="4">
        <v>1</v>
      </c>
      <c r="C46" s="82" t="s">
        <v>71</v>
      </c>
      <c r="D46" s="83"/>
      <c r="E46" s="83"/>
      <c r="F46" s="83"/>
      <c r="G46" s="83"/>
      <c r="H46" s="83"/>
      <c r="I46" s="83"/>
      <c r="J46" s="83"/>
      <c r="K46" s="84"/>
      <c r="L46" s="74">
        <v>718.25</v>
      </c>
      <c r="M46" s="74"/>
      <c r="N46" s="85">
        <f>P46/L46/6</f>
        <v>0</v>
      </c>
      <c r="O46" s="85"/>
      <c r="P46" s="17"/>
    </row>
    <row r="47" spans="2:16" hidden="1" x14ac:dyDescent="0.25">
      <c r="B47" s="4">
        <v>1</v>
      </c>
      <c r="C47" s="82" t="s">
        <v>73</v>
      </c>
      <c r="D47" s="83"/>
      <c r="E47" s="83"/>
      <c r="F47" s="83"/>
      <c r="G47" s="83"/>
      <c r="H47" s="83"/>
      <c r="I47" s="83"/>
      <c r="J47" s="83"/>
      <c r="K47" s="84"/>
      <c r="L47" s="74">
        <v>718.25</v>
      </c>
      <c r="M47" s="74"/>
      <c r="N47" s="74"/>
      <c r="O47" s="74"/>
      <c r="P47" s="17">
        <f>N47*L47*6</f>
        <v>0</v>
      </c>
    </row>
    <row r="48" spans="2:16" hidden="1" x14ac:dyDescent="0.25">
      <c r="B48" s="4">
        <v>2</v>
      </c>
      <c r="C48" s="82" t="s">
        <v>74</v>
      </c>
      <c r="D48" s="83"/>
      <c r="E48" s="83"/>
      <c r="F48" s="83"/>
      <c r="G48" s="83"/>
      <c r="H48" s="83"/>
      <c r="I48" s="83"/>
      <c r="J48" s="83"/>
      <c r="K48" s="84"/>
      <c r="L48" s="74">
        <v>718.25</v>
      </c>
      <c r="M48" s="74"/>
      <c r="N48" s="74"/>
      <c r="O48" s="74"/>
      <c r="P48" s="17">
        <f>N48*L48*6</f>
        <v>0</v>
      </c>
    </row>
    <row r="49" spans="2:16" hidden="1" x14ac:dyDescent="0.25">
      <c r="B49" s="4">
        <v>4</v>
      </c>
      <c r="C49" s="74"/>
      <c r="D49" s="74"/>
      <c r="E49" s="74"/>
      <c r="F49" s="74"/>
      <c r="G49" s="74"/>
      <c r="H49" s="74"/>
      <c r="I49" s="74"/>
      <c r="J49" s="74"/>
      <c r="K49" s="74"/>
      <c r="L49" s="74">
        <v>718.25</v>
      </c>
      <c r="M49" s="74"/>
      <c r="N49" s="74"/>
      <c r="O49" s="74"/>
      <c r="P49" s="17"/>
    </row>
    <row r="50" spans="2:16" hidden="1" x14ac:dyDescent="0.25">
      <c r="B50" s="38"/>
      <c r="C50" s="86" t="s">
        <v>29</v>
      </c>
      <c r="D50" s="87"/>
      <c r="E50" s="87"/>
      <c r="F50" s="87"/>
      <c r="G50" s="87"/>
      <c r="H50" s="87"/>
      <c r="I50" s="87"/>
      <c r="J50" s="87"/>
      <c r="K50" s="88"/>
      <c r="L50" s="79">
        <v>718.25</v>
      </c>
      <c r="M50" s="79"/>
      <c r="N50" s="91">
        <f>N46+N47+N48+N49</f>
        <v>0</v>
      </c>
      <c r="O50" s="91"/>
      <c r="P50" s="47">
        <f>P46+P47+P48+P49</f>
        <v>0</v>
      </c>
    </row>
    <row r="51" spans="2:16" hidden="1" x14ac:dyDescent="0.25">
      <c r="B51" s="90" t="s">
        <v>30</v>
      </c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</row>
    <row r="52" spans="2:16" hidden="1" x14ac:dyDescent="0.25">
      <c r="B52" s="38"/>
      <c r="C52" s="86" t="s">
        <v>31</v>
      </c>
      <c r="D52" s="87"/>
      <c r="E52" s="87"/>
      <c r="F52" s="87"/>
      <c r="G52" s="87"/>
      <c r="H52" s="87"/>
      <c r="I52" s="87"/>
      <c r="J52" s="87"/>
      <c r="K52" s="88"/>
      <c r="L52" s="79">
        <v>718.25</v>
      </c>
      <c r="M52" s="79"/>
      <c r="N52" s="79">
        <v>0</v>
      </c>
      <c r="O52" s="79"/>
      <c r="P52" s="38">
        <v>0</v>
      </c>
    </row>
    <row r="55" spans="2:16" x14ac:dyDescent="0.25">
      <c r="C55" s="1" t="s">
        <v>38</v>
      </c>
    </row>
    <row r="56" spans="2:16" x14ac:dyDescent="0.25">
      <c r="C56" s="1" t="s">
        <v>39</v>
      </c>
    </row>
    <row r="57" spans="2:16" x14ac:dyDescent="0.25">
      <c r="C57" s="4" t="s">
        <v>93</v>
      </c>
      <c r="D57" s="22">
        <f>N44</f>
        <v>16.808246099999998</v>
      </c>
    </row>
    <row r="60" spans="2:16" x14ac:dyDescent="0.25">
      <c r="C60" s="1" t="s">
        <v>40</v>
      </c>
      <c r="D60" s="2"/>
      <c r="E60" s="2"/>
      <c r="F60" s="2"/>
      <c r="G60" s="2"/>
      <c r="J60" s="1" t="s">
        <v>41</v>
      </c>
    </row>
    <row r="63" spans="2:16" ht="24.75" customHeight="1" x14ac:dyDescent="0.25">
      <c r="C63" s="1" t="s">
        <v>42</v>
      </c>
      <c r="D63" s="2"/>
      <c r="E63" s="2"/>
      <c r="F63" s="1" t="s">
        <v>43</v>
      </c>
    </row>
    <row r="64" spans="2:16" ht="25.5" customHeight="1" x14ac:dyDescent="0.25">
      <c r="D64" s="2"/>
      <c r="E64" s="2"/>
      <c r="F64" s="1" t="s">
        <v>43</v>
      </c>
    </row>
    <row r="65" spans="4:6" ht="24.75" customHeight="1" x14ac:dyDescent="0.25">
      <c r="D65" s="2"/>
      <c r="E65" s="2"/>
      <c r="F65" s="1" t="s">
        <v>43</v>
      </c>
    </row>
  </sheetData>
  <mergeCells count="115">
    <mergeCell ref="B51:P51"/>
    <mergeCell ref="C52:K52"/>
    <mergeCell ref="L52:M52"/>
    <mergeCell ref="N52:O52"/>
    <mergeCell ref="C49:K49"/>
    <mergeCell ref="L49:M49"/>
    <mergeCell ref="N49:O49"/>
    <mergeCell ref="C50:K50"/>
    <mergeCell ref="L50:M50"/>
    <mergeCell ref="N50:O50"/>
    <mergeCell ref="B45:P45"/>
    <mergeCell ref="C46:K46"/>
    <mergeCell ref="L46:M46"/>
    <mergeCell ref="N46:O46"/>
    <mergeCell ref="C47:K47"/>
    <mergeCell ref="L47:M47"/>
    <mergeCell ref="N47:O47"/>
    <mergeCell ref="C48:K48"/>
    <mergeCell ref="L48:M48"/>
    <mergeCell ref="N48:O48"/>
    <mergeCell ref="C42:K42"/>
    <mergeCell ref="L42:M42"/>
    <mergeCell ref="N42:O42"/>
    <mergeCell ref="C43:K43"/>
    <mergeCell ref="L43:M43"/>
    <mergeCell ref="N43:O43"/>
    <mergeCell ref="C44:K44"/>
    <mergeCell ref="L44:M44"/>
    <mergeCell ref="N44:O44"/>
    <mergeCell ref="C39:K39"/>
    <mergeCell ref="L39:M39"/>
    <mergeCell ref="N39:O39"/>
    <mergeCell ref="C40:K40"/>
    <mergeCell ref="L40:M40"/>
    <mergeCell ref="N40:O40"/>
    <mergeCell ref="C41:K41"/>
    <mergeCell ref="L41:M41"/>
    <mergeCell ref="N41:O41"/>
    <mergeCell ref="C36:K36"/>
    <mergeCell ref="L36:M36"/>
    <mergeCell ref="N36:O36"/>
    <mergeCell ref="C37:K37"/>
    <mergeCell ref="L37:M37"/>
    <mergeCell ref="N37:O37"/>
    <mergeCell ref="C38:K38"/>
    <mergeCell ref="L38:M38"/>
    <mergeCell ref="N38:O38"/>
    <mergeCell ref="C33:K33"/>
    <mergeCell ref="L33:M33"/>
    <mergeCell ref="N33:O33"/>
    <mergeCell ref="C34:K34"/>
    <mergeCell ref="L34:M34"/>
    <mergeCell ref="N34:O34"/>
    <mergeCell ref="C35:K35"/>
    <mergeCell ref="L35:M35"/>
    <mergeCell ref="N35:O35"/>
    <mergeCell ref="C29:K29"/>
    <mergeCell ref="L29:M29"/>
    <mergeCell ref="N29:O29"/>
    <mergeCell ref="B30:P30"/>
    <mergeCell ref="C31:K31"/>
    <mergeCell ref="L31:M31"/>
    <mergeCell ref="N31:O31"/>
    <mergeCell ref="C32:K32"/>
    <mergeCell ref="L32:M32"/>
    <mergeCell ref="N32:O32"/>
    <mergeCell ref="C28:K28"/>
    <mergeCell ref="L28:M28"/>
    <mergeCell ref="N28:O28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2:E22"/>
    <mergeCell ref="B2:V2"/>
    <mergeCell ref="B3:V3"/>
    <mergeCell ref="B4:V4"/>
    <mergeCell ref="P12:Q12"/>
    <mergeCell ref="R12:S12"/>
    <mergeCell ref="T12:U12"/>
    <mergeCell ref="P13:Q13"/>
    <mergeCell ref="P14:Q14"/>
    <mergeCell ref="P15:Q15"/>
    <mergeCell ref="T13:U13"/>
    <mergeCell ref="T14:U14"/>
    <mergeCell ref="T15:U15"/>
    <mergeCell ref="R13:S13"/>
    <mergeCell ref="R14:S14"/>
    <mergeCell ref="R15:S15"/>
    <mergeCell ref="R16:S16"/>
    <mergeCell ref="R18:S18"/>
    <mergeCell ref="R19:S19"/>
    <mergeCell ref="R20:S20"/>
    <mergeCell ref="R22:S22"/>
    <mergeCell ref="P17:Q17"/>
    <mergeCell ref="R17:S17"/>
    <mergeCell ref="P16:Q16"/>
    <mergeCell ref="T16:U16"/>
    <mergeCell ref="T18:U18"/>
    <mergeCell ref="T19:U19"/>
    <mergeCell ref="T20:U20"/>
    <mergeCell ref="T22:U22"/>
    <mergeCell ref="P18:Q18"/>
    <mergeCell ref="P19:Q19"/>
    <mergeCell ref="P20:Q20"/>
    <mergeCell ref="P22:Q22"/>
    <mergeCell ref="T17:U17"/>
    <mergeCell ref="P21:Q21"/>
    <mergeCell ref="R21:S21"/>
    <mergeCell ref="T21:U21"/>
  </mergeCells>
  <pageMargins left="0.25" right="0.25" top="0.75" bottom="0.75" header="0.3" footer="0.3"/>
  <pageSetup paperSize="9" scale="4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B1:W65"/>
  <sheetViews>
    <sheetView view="pageBreakPreview" topLeftCell="A10" zoomScale="79" zoomScaleNormal="84" zoomScaleSheetLayoutView="79" workbookViewId="0">
      <selection activeCell="L17" sqref="L17"/>
    </sheetView>
  </sheetViews>
  <sheetFormatPr defaultRowHeight="15.75" x14ac:dyDescent="0.25"/>
  <cols>
    <col min="1" max="1" width="3" style="1" customWidth="1"/>
    <col min="2" max="2" width="3.7109375" style="1" bestFit="1" customWidth="1"/>
    <col min="3" max="3" width="39.7109375" style="1" customWidth="1"/>
    <col min="4" max="4" width="13.28515625" style="1" customWidth="1"/>
    <col min="5" max="5" width="10.5703125" style="1" customWidth="1"/>
    <col min="6" max="6" width="9.42578125" style="1" bestFit="1" customWidth="1"/>
    <col min="7" max="7" width="1.5703125" style="1" hidden="1" customWidth="1"/>
    <col min="8" max="8" width="12.5703125" style="1" hidden="1" customWidth="1"/>
    <col min="9" max="9" width="1.5703125" style="1" customWidth="1"/>
    <col min="10" max="10" width="11.7109375" style="1" customWidth="1"/>
    <col min="11" max="11" width="2.28515625" style="1" customWidth="1"/>
    <col min="12" max="12" width="12.140625" style="1" customWidth="1"/>
    <col min="13" max="13" width="1.5703125" style="1" customWidth="1"/>
    <col min="14" max="14" width="15.7109375" style="1" customWidth="1"/>
    <col min="15" max="15" width="1.7109375" style="1" customWidth="1"/>
    <col min="16" max="16" width="12" style="1" customWidth="1"/>
    <col min="17" max="17" width="10.28515625" style="1" customWidth="1"/>
    <col min="18" max="18" width="11.140625" style="1" customWidth="1"/>
    <col min="19" max="19" width="10.28515625" style="1" customWidth="1"/>
    <col min="20" max="20" width="14.7109375" style="1" customWidth="1"/>
    <col min="21" max="21" width="10.85546875" style="1" customWidth="1"/>
    <col min="22" max="22" width="11" style="1" customWidth="1"/>
    <col min="23" max="16384" width="9.140625" style="1"/>
  </cols>
  <sheetData>
    <row r="1" spans="2:23" ht="16.5" thickBot="1" x14ac:dyDescent="0.3"/>
    <row r="2" spans="2:23" x14ac:dyDescent="0.25">
      <c r="B2" s="63" t="s">
        <v>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5"/>
    </row>
    <row r="3" spans="2:23" x14ac:dyDescent="0.25">
      <c r="B3" s="66" t="str">
        <f>'1'!B3:V3</f>
        <v>с 1.01.2016 по 31.12.2016 г.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/>
    </row>
    <row r="4" spans="2:23" ht="16.5" thickBot="1" x14ac:dyDescent="0.3">
      <c r="B4" s="69" t="s">
        <v>32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1"/>
    </row>
    <row r="5" spans="2:23" x14ac:dyDescent="0.25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2:23" x14ac:dyDescent="0.25">
      <c r="C6" s="29" t="s">
        <v>54</v>
      </c>
      <c r="W6" s="49" t="s">
        <v>112</v>
      </c>
    </row>
    <row r="8" spans="2:23" x14ac:dyDescent="0.25">
      <c r="C8" s="1" t="s">
        <v>33</v>
      </c>
      <c r="D8" s="2">
        <v>721</v>
      </c>
    </row>
    <row r="9" spans="2:23" x14ac:dyDescent="0.25">
      <c r="C9" s="1" t="s">
        <v>35</v>
      </c>
      <c r="D9" s="3">
        <v>43</v>
      </c>
    </row>
    <row r="10" spans="2:23" x14ac:dyDescent="0.25">
      <c r="C10" s="1" t="s">
        <v>36</v>
      </c>
      <c r="D10" s="3">
        <v>16</v>
      </c>
    </row>
    <row r="12" spans="2:23" ht="47.25" x14ac:dyDescent="0.25">
      <c r="C12" s="27" t="s">
        <v>1</v>
      </c>
      <c r="D12" s="59" t="str">
        <f>'1'!D12:E12</f>
        <v>Содержание общего имущества дома</v>
      </c>
      <c r="E12" s="60"/>
      <c r="F12" s="27" t="s">
        <v>8</v>
      </c>
      <c r="G12" s="7"/>
      <c r="H12" s="27" t="s">
        <v>9</v>
      </c>
      <c r="I12" s="7"/>
      <c r="J12" s="28" t="str">
        <f>'1'!J12</f>
        <v>Вывоз ТБО (руб./чел.)</v>
      </c>
      <c r="K12" s="7"/>
      <c r="L12" s="28" t="s">
        <v>67</v>
      </c>
      <c r="M12" s="7"/>
      <c r="N12" s="28" t="str">
        <f>'1'!N12</f>
        <v>Обслуживание антены (руб./лиц.сч.)</v>
      </c>
      <c r="O12" s="8"/>
      <c r="P12" s="59" t="str">
        <f>'1'!P12</f>
        <v xml:space="preserve">Хол. вода </v>
      </c>
      <c r="Q12" s="60"/>
      <c r="R12" s="59" t="str">
        <f>'1'!R12</f>
        <v xml:space="preserve">Гор. вода </v>
      </c>
      <c r="S12" s="60"/>
      <c r="T12" s="59" t="str">
        <f>'1'!T12</f>
        <v>Канализация</v>
      </c>
      <c r="U12" s="60"/>
      <c r="V12" s="27" t="s">
        <v>10</v>
      </c>
    </row>
    <row r="13" spans="2:23" x14ac:dyDescent="0.25">
      <c r="C13" s="9" t="s">
        <v>2</v>
      </c>
      <c r="D13" s="57"/>
      <c r="E13" s="58"/>
      <c r="F13" s="11"/>
      <c r="G13" s="7"/>
      <c r="H13" s="11"/>
      <c r="I13" s="7"/>
      <c r="J13" s="11"/>
      <c r="K13" s="7"/>
      <c r="L13" s="11"/>
      <c r="M13" s="7"/>
      <c r="N13" s="11"/>
      <c r="O13" s="7"/>
      <c r="P13" s="57"/>
      <c r="Q13" s="58"/>
      <c r="R13" s="57"/>
      <c r="S13" s="58"/>
      <c r="T13" s="57"/>
      <c r="U13" s="58"/>
      <c r="V13" s="30">
        <f>V14</f>
        <v>-110376.01</v>
      </c>
    </row>
    <row r="14" spans="2:23" ht="47.25" x14ac:dyDescent="0.25">
      <c r="C14" s="10" t="str">
        <f>'1'!C14</f>
        <v>Остаток с предыдущего периода (задолженность(-), переплата (+)) на 01.01.2016г.</v>
      </c>
      <c r="D14" s="57"/>
      <c r="E14" s="58"/>
      <c r="F14" s="11">
        <v>-22594.17</v>
      </c>
      <c r="G14" s="7"/>
      <c r="H14" s="11"/>
      <c r="I14" s="7"/>
      <c r="J14" s="14">
        <v>-4434.5200000000004</v>
      </c>
      <c r="K14" s="7"/>
      <c r="L14" s="14">
        <v>-57980.95</v>
      </c>
      <c r="M14" s="7"/>
      <c r="N14" s="11">
        <v>-149.25</v>
      </c>
      <c r="O14" s="7"/>
      <c r="P14" s="61">
        <v>-2652.69</v>
      </c>
      <c r="Q14" s="62"/>
      <c r="R14" s="57">
        <v>-16005.87</v>
      </c>
      <c r="S14" s="58"/>
      <c r="T14" s="61">
        <v>-6558.56</v>
      </c>
      <c r="U14" s="62"/>
      <c r="V14" s="14">
        <f>F14+H14+J14+L14+N14+P14+Q14+R14+S14+T14+U14</f>
        <v>-110376.01</v>
      </c>
    </row>
    <row r="15" spans="2:23" x14ac:dyDescent="0.25">
      <c r="C15" s="9" t="s">
        <v>3</v>
      </c>
      <c r="D15" s="57"/>
      <c r="E15" s="58"/>
      <c r="F15" s="11">
        <v>21312.44</v>
      </c>
      <c r="G15" s="7"/>
      <c r="H15" s="14"/>
      <c r="I15" s="7"/>
      <c r="J15" s="14">
        <v>22871.279999999999</v>
      </c>
      <c r="K15" s="7"/>
      <c r="L15" s="11">
        <v>336721.14</v>
      </c>
      <c r="M15" s="7"/>
      <c r="N15" s="11"/>
      <c r="O15" s="7"/>
      <c r="P15" s="61">
        <f>12252.25+244.77</f>
        <v>12497.02</v>
      </c>
      <c r="Q15" s="62"/>
      <c r="R15" s="61">
        <f>68975.63+1063.3</f>
        <v>70038.930000000008</v>
      </c>
      <c r="S15" s="62"/>
      <c r="T15" s="61">
        <f>15218.6+12983.59</f>
        <v>28202.190000000002</v>
      </c>
      <c r="U15" s="62"/>
      <c r="V15" s="11">
        <f>F15+H15+J15+L15+N15+P15+Q15+R15+S15+T15+U15</f>
        <v>491643</v>
      </c>
    </row>
    <row r="16" spans="2:23" x14ac:dyDescent="0.25">
      <c r="C16" s="9" t="s">
        <v>4</v>
      </c>
      <c r="D16" s="57"/>
      <c r="E16" s="58"/>
      <c r="F16" s="11">
        <f>37491.55+621.84</f>
        <v>38113.39</v>
      </c>
      <c r="G16" s="7"/>
      <c r="H16" s="14"/>
      <c r="I16" s="7"/>
      <c r="J16" s="14">
        <v>22580.48</v>
      </c>
      <c r="K16" s="7"/>
      <c r="L16" s="11">
        <v>322655.7</v>
      </c>
      <c r="M16" s="7"/>
      <c r="N16" s="14">
        <v>149.25</v>
      </c>
      <c r="O16" s="7"/>
      <c r="P16" s="61">
        <f>12821.14+217.57</f>
        <v>13038.71</v>
      </c>
      <c r="Q16" s="62"/>
      <c r="R16" s="61">
        <f>74976.51+934.05</f>
        <v>75910.559999999998</v>
      </c>
      <c r="S16" s="62"/>
      <c r="T16" s="61">
        <f>16908.76+13332.28</f>
        <v>30241.040000000001</v>
      </c>
      <c r="U16" s="62"/>
      <c r="V16" s="12">
        <f t="shared" ref="V16:V17" si="0">F16+H16+J16+L16+N16+P16+Q16+R16+S16+T16+U16</f>
        <v>502689.13</v>
      </c>
    </row>
    <row r="17" spans="2:22" ht="31.5" x14ac:dyDescent="0.25">
      <c r="C17" s="10" t="s">
        <v>5</v>
      </c>
      <c r="D17" s="57"/>
      <c r="E17" s="58"/>
      <c r="F17" s="14">
        <f>P44+P50</f>
        <v>24237.490876200005</v>
      </c>
      <c r="G17" s="7"/>
      <c r="H17" s="11">
        <f>P52</f>
        <v>0</v>
      </c>
      <c r="I17" s="7"/>
      <c r="J17" s="14">
        <f>J15+18637.28</f>
        <v>41508.559999999998</v>
      </c>
      <c r="K17" s="7"/>
      <c r="L17" s="11">
        <f>(D8*L20*6)+(D8*L21*6)</f>
        <v>348762.12</v>
      </c>
      <c r="M17" s="7"/>
      <c r="N17" s="14"/>
      <c r="O17" s="7"/>
      <c r="P17" s="61">
        <f>P15+Q15+114670.71</f>
        <v>127167.73000000001</v>
      </c>
      <c r="Q17" s="62"/>
      <c r="R17" s="61">
        <f>R15+S15</f>
        <v>70038.930000000008</v>
      </c>
      <c r="S17" s="62"/>
      <c r="T17" s="61">
        <f>T15+U15</f>
        <v>28202.190000000002</v>
      </c>
      <c r="U17" s="62"/>
      <c r="V17" s="12">
        <f t="shared" si="0"/>
        <v>639917.02087619994</v>
      </c>
    </row>
    <row r="18" spans="2:22" ht="31.5" x14ac:dyDescent="0.25">
      <c r="C18" s="10" t="str">
        <f>'1'!C18</f>
        <v>Текущий остаток (задолженность (-), переплата (+)) на 31.12.2016 г.</v>
      </c>
      <c r="D18" s="57"/>
      <c r="E18" s="58"/>
      <c r="F18" s="33">
        <f>F16-F15+F14</f>
        <v>-5793.2199999999975</v>
      </c>
      <c r="G18" s="32"/>
      <c r="H18" s="31">
        <f>H16-H15+H14</f>
        <v>0</v>
      </c>
      <c r="I18" s="40"/>
      <c r="J18" s="31">
        <f>J16-J15+J14</f>
        <v>-4725.32</v>
      </c>
      <c r="K18" s="40"/>
      <c r="L18" s="31">
        <f>L16-L15+L14</f>
        <v>-72046.39</v>
      </c>
      <c r="M18" s="40"/>
      <c r="N18" s="31">
        <f>N16-N15+N14</f>
        <v>0</v>
      </c>
      <c r="O18" s="40"/>
      <c r="P18" s="55">
        <f>P16-P15+P14</f>
        <v>-2111.0000000000014</v>
      </c>
      <c r="Q18" s="56"/>
      <c r="R18" s="55">
        <f t="shared" ref="R18:V18" si="1">R16-R15+R14</f>
        <v>-10134.240000000011</v>
      </c>
      <c r="S18" s="56"/>
      <c r="T18" s="55">
        <f t="shared" si="1"/>
        <v>-4519.7100000000019</v>
      </c>
      <c r="U18" s="56"/>
      <c r="V18" s="31">
        <f t="shared" si="1"/>
        <v>-99329.87999999999</v>
      </c>
    </row>
    <row r="19" spans="2:22" x14ac:dyDescent="0.25">
      <c r="C19" s="9" t="s">
        <v>6</v>
      </c>
      <c r="D19" s="57"/>
      <c r="E19" s="58"/>
      <c r="F19" s="11"/>
      <c r="G19" s="7"/>
      <c r="H19" s="11"/>
      <c r="I19" s="7"/>
      <c r="J19" s="11"/>
      <c r="K19" s="7"/>
      <c r="L19" s="11"/>
      <c r="M19" s="7"/>
      <c r="N19" s="11"/>
      <c r="O19" s="7"/>
      <c r="P19" s="57"/>
      <c r="Q19" s="58"/>
      <c r="R19" s="57"/>
      <c r="S19" s="58"/>
      <c r="T19" s="57"/>
      <c r="U19" s="58"/>
      <c r="V19" s="30">
        <f>F18+H18+J18+L18+N18+P18+Q18+R18+S18+T18+U18</f>
        <v>-99329.88</v>
      </c>
    </row>
    <row r="20" spans="2:22" x14ac:dyDescent="0.25">
      <c r="C20" s="9" t="str">
        <f>'1'!C20</f>
        <v>Тариф (руб/м²), 1-е полугодие</v>
      </c>
      <c r="D20" s="57"/>
      <c r="E20" s="58"/>
      <c r="F20" s="13">
        <f>'1'!F20</f>
        <v>15.31</v>
      </c>
      <c r="G20" s="7"/>
      <c r="H20" s="11">
        <f>'1'!H20</f>
        <v>37.700000000000003</v>
      </c>
      <c r="I20" s="7"/>
      <c r="J20" s="13">
        <f>'1'!J20</f>
        <v>44.32</v>
      </c>
      <c r="K20" s="7"/>
      <c r="L20" s="11">
        <v>39.74</v>
      </c>
      <c r="M20" s="7"/>
      <c r="N20" s="11">
        <f>'1'!N20</f>
        <v>50</v>
      </c>
      <c r="O20" s="7"/>
      <c r="P20" s="57" t="str">
        <f>'1'!P20</f>
        <v xml:space="preserve">15,02 руб./м3 </v>
      </c>
      <c r="Q20" s="58"/>
      <c r="R20" s="57" t="str">
        <f>'1'!R20</f>
        <v>99,55 руб./м3</v>
      </c>
      <c r="S20" s="58"/>
      <c r="T20" s="57" t="str">
        <f>'1'!T20</f>
        <v>18,66 руб./м3</v>
      </c>
      <c r="U20" s="58"/>
      <c r="V20" s="11"/>
    </row>
    <row r="21" spans="2:22" x14ac:dyDescent="0.25">
      <c r="C21" s="9" t="str">
        <f>'1'!C21</f>
        <v>Тариф (руб/м²), 2-е полугодие</v>
      </c>
      <c r="D21" s="50"/>
      <c r="E21" s="51"/>
      <c r="F21" s="21">
        <f>'1'!F21</f>
        <v>15.31</v>
      </c>
      <c r="G21" s="7"/>
      <c r="H21" s="21"/>
      <c r="I21" s="7"/>
      <c r="J21" s="21">
        <f>'1'!J21</f>
        <v>44.32</v>
      </c>
      <c r="K21" s="7"/>
      <c r="L21" s="21">
        <f>'12'!L21</f>
        <v>40.880000000000003</v>
      </c>
      <c r="M21" s="7"/>
      <c r="N21" s="21">
        <f>'1'!N21</f>
        <v>50</v>
      </c>
      <c r="O21" s="7"/>
      <c r="P21" s="57" t="str">
        <f>'1'!P21:Q21</f>
        <v>15,63 руб./м³</v>
      </c>
      <c r="Q21" s="58"/>
      <c r="R21" s="57" t="str">
        <f>'1'!R21:S21</f>
        <v>102,59 руб./м³</v>
      </c>
      <c r="S21" s="58"/>
      <c r="T21" s="57" t="str">
        <f>'1'!T21:U21</f>
        <v>19,41 руб./м³</v>
      </c>
      <c r="U21" s="58"/>
      <c r="V21" s="21"/>
    </row>
    <row r="22" spans="2:22" x14ac:dyDescent="0.25">
      <c r="C22" s="9" t="s">
        <v>44</v>
      </c>
      <c r="D22" s="57"/>
      <c r="E22" s="58"/>
      <c r="F22" s="14">
        <f>N44+N50</f>
        <v>16.808246099999998</v>
      </c>
      <c r="G22" s="7"/>
      <c r="H22" s="11"/>
      <c r="I22" s="7"/>
      <c r="J22" s="11"/>
      <c r="K22" s="7"/>
      <c r="L22" s="11"/>
      <c r="M22" s="7"/>
      <c r="N22" s="11"/>
      <c r="O22" s="7"/>
      <c r="P22" s="57"/>
      <c r="Q22" s="58"/>
      <c r="R22" s="57"/>
      <c r="S22" s="58"/>
      <c r="T22" s="57"/>
      <c r="U22" s="58"/>
      <c r="V22" s="11"/>
    </row>
    <row r="24" spans="2:22" x14ac:dyDescent="0.25">
      <c r="C24" s="5" t="s">
        <v>11</v>
      </c>
    </row>
    <row r="25" spans="2:22" x14ac:dyDescent="0.25">
      <c r="C25" s="1" t="s">
        <v>12</v>
      </c>
      <c r="J25" s="34">
        <f>V19/V15*100</f>
        <v>-20.203659972785132</v>
      </c>
      <c r="K25" s="35" t="s">
        <v>37</v>
      </c>
    </row>
    <row r="28" spans="2:22" ht="33" customHeight="1" x14ac:dyDescent="0.25">
      <c r="B28" s="27" t="s">
        <v>13</v>
      </c>
      <c r="C28" s="72" t="s">
        <v>14</v>
      </c>
      <c r="D28" s="72"/>
      <c r="E28" s="72"/>
      <c r="F28" s="72"/>
      <c r="G28" s="72"/>
      <c r="H28" s="72"/>
      <c r="I28" s="72"/>
      <c r="J28" s="72"/>
      <c r="K28" s="72"/>
      <c r="L28" s="73" t="s">
        <v>45</v>
      </c>
      <c r="M28" s="73"/>
      <c r="N28" s="73" t="s">
        <v>46</v>
      </c>
      <c r="O28" s="73"/>
      <c r="P28" s="27" t="s">
        <v>28</v>
      </c>
    </row>
    <row r="29" spans="2:22" x14ac:dyDescent="0.25">
      <c r="B29" s="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4"/>
    </row>
    <row r="30" spans="2:22" x14ac:dyDescent="0.25">
      <c r="B30" s="90" t="s">
        <v>7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</row>
    <row r="31" spans="2:22" x14ac:dyDescent="0.25">
      <c r="B31" s="4">
        <v>1</v>
      </c>
      <c r="C31" s="76" t="s">
        <v>15</v>
      </c>
      <c r="D31" s="76"/>
      <c r="E31" s="76"/>
      <c r="F31" s="76"/>
      <c r="G31" s="76"/>
      <c r="H31" s="76"/>
      <c r="I31" s="76"/>
      <c r="J31" s="76"/>
      <c r="K31" s="76"/>
      <c r="L31" s="74">
        <v>721</v>
      </c>
      <c r="M31" s="74"/>
      <c r="N31" s="77">
        <f>'1'!N31:O31</f>
        <v>3.5</v>
      </c>
      <c r="O31" s="77"/>
      <c r="P31" s="17">
        <f>L31*N31*2</f>
        <v>5047</v>
      </c>
    </row>
    <row r="32" spans="2:22" x14ac:dyDescent="0.25">
      <c r="B32" s="4">
        <v>2</v>
      </c>
      <c r="C32" s="76" t="s">
        <v>34</v>
      </c>
      <c r="D32" s="76"/>
      <c r="E32" s="76"/>
      <c r="F32" s="76"/>
      <c r="G32" s="76"/>
      <c r="H32" s="76"/>
      <c r="I32" s="76"/>
      <c r="J32" s="76"/>
      <c r="K32" s="76"/>
      <c r="L32" s="74">
        <v>721</v>
      </c>
      <c r="M32" s="74"/>
      <c r="N32" s="77">
        <f>'1'!N32:O32</f>
        <v>0.98752150000000005</v>
      </c>
      <c r="O32" s="77"/>
      <c r="P32" s="17">
        <f t="shared" ref="P32:P43" si="2">L32*N32*2</f>
        <v>1424.006003</v>
      </c>
    </row>
    <row r="33" spans="2:16" x14ac:dyDescent="0.25">
      <c r="B33" s="4">
        <v>3</v>
      </c>
      <c r="C33" s="76" t="s">
        <v>16</v>
      </c>
      <c r="D33" s="76"/>
      <c r="E33" s="76"/>
      <c r="F33" s="76"/>
      <c r="G33" s="76"/>
      <c r="H33" s="76"/>
      <c r="I33" s="76"/>
      <c r="J33" s="76"/>
      <c r="K33" s="76"/>
      <c r="L33" s="74">
        <v>721</v>
      </c>
      <c r="M33" s="74"/>
      <c r="N33" s="77">
        <f>'1'!N33:O33</f>
        <v>2.8257476000000001</v>
      </c>
      <c r="O33" s="77"/>
      <c r="P33" s="17">
        <f t="shared" si="2"/>
        <v>4074.7280392000002</v>
      </c>
    </row>
    <row r="34" spans="2:16" x14ac:dyDescent="0.25">
      <c r="B34" s="4">
        <v>4</v>
      </c>
      <c r="C34" s="76" t="s">
        <v>17</v>
      </c>
      <c r="D34" s="76"/>
      <c r="E34" s="76"/>
      <c r="F34" s="76"/>
      <c r="G34" s="76"/>
      <c r="H34" s="76"/>
      <c r="I34" s="76"/>
      <c r="J34" s="76"/>
      <c r="K34" s="76"/>
      <c r="L34" s="74">
        <v>721</v>
      </c>
      <c r="M34" s="74"/>
      <c r="N34" s="77">
        <f>'1'!N34:O34</f>
        <v>1</v>
      </c>
      <c r="O34" s="77"/>
      <c r="P34" s="17">
        <f t="shared" si="2"/>
        <v>1442</v>
      </c>
    </row>
    <row r="35" spans="2:16" x14ac:dyDescent="0.25">
      <c r="B35" s="4">
        <v>5</v>
      </c>
      <c r="C35" s="76" t="s">
        <v>18</v>
      </c>
      <c r="D35" s="76"/>
      <c r="E35" s="76"/>
      <c r="F35" s="76"/>
      <c r="G35" s="76"/>
      <c r="H35" s="76"/>
      <c r="I35" s="76"/>
      <c r="J35" s="76"/>
      <c r="K35" s="76"/>
      <c r="L35" s="74">
        <v>721</v>
      </c>
      <c r="M35" s="74"/>
      <c r="N35" s="77">
        <f>'1'!N35:O35</f>
        <v>2</v>
      </c>
      <c r="O35" s="77"/>
      <c r="P35" s="17">
        <f t="shared" si="2"/>
        <v>2884</v>
      </c>
    </row>
    <row r="36" spans="2:16" x14ac:dyDescent="0.25">
      <c r="B36" s="4">
        <v>6</v>
      </c>
      <c r="C36" s="76" t="s">
        <v>24</v>
      </c>
      <c r="D36" s="76"/>
      <c r="E36" s="76"/>
      <c r="F36" s="76"/>
      <c r="G36" s="76"/>
      <c r="H36" s="76"/>
      <c r="I36" s="76"/>
      <c r="J36" s="76"/>
      <c r="K36" s="76"/>
      <c r="L36" s="74">
        <v>721</v>
      </c>
      <c r="M36" s="74"/>
      <c r="N36" s="77">
        <f>'1'!N36:O36</f>
        <v>3</v>
      </c>
      <c r="O36" s="77"/>
      <c r="P36" s="17">
        <f t="shared" si="2"/>
        <v>4326</v>
      </c>
    </row>
    <row r="37" spans="2:16" x14ac:dyDescent="0.25">
      <c r="B37" s="4">
        <v>7</v>
      </c>
      <c r="C37" s="76" t="s">
        <v>19</v>
      </c>
      <c r="D37" s="76"/>
      <c r="E37" s="76"/>
      <c r="F37" s="76"/>
      <c r="G37" s="76"/>
      <c r="H37" s="76"/>
      <c r="I37" s="76"/>
      <c r="J37" s="76"/>
      <c r="K37" s="76"/>
      <c r="L37" s="74">
        <v>721</v>
      </c>
      <c r="M37" s="74"/>
      <c r="N37" s="77">
        <f>'1'!N37:O37</f>
        <v>0.5</v>
      </c>
      <c r="O37" s="77"/>
      <c r="P37" s="17">
        <f t="shared" si="2"/>
        <v>721</v>
      </c>
    </row>
    <row r="38" spans="2:16" x14ac:dyDescent="0.25">
      <c r="B38" s="4">
        <v>8</v>
      </c>
      <c r="C38" s="76" t="s">
        <v>20</v>
      </c>
      <c r="D38" s="76"/>
      <c r="E38" s="76"/>
      <c r="F38" s="76"/>
      <c r="G38" s="76"/>
      <c r="H38" s="76"/>
      <c r="I38" s="76"/>
      <c r="J38" s="76"/>
      <c r="K38" s="76"/>
      <c r="L38" s="74">
        <v>721</v>
      </c>
      <c r="M38" s="74"/>
      <c r="N38" s="77">
        <f>'1'!N38:O38</f>
        <v>1.694977</v>
      </c>
      <c r="O38" s="77"/>
      <c r="P38" s="17">
        <f t="shared" si="2"/>
        <v>2444.1568339999999</v>
      </c>
    </row>
    <row r="39" spans="2:16" x14ac:dyDescent="0.25">
      <c r="B39" s="4">
        <v>9</v>
      </c>
      <c r="C39" s="76" t="s">
        <v>84</v>
      </c>
      <c r="D39" s="76"/>
      <c r="E39" s="76"/>
      <c r="F39" s="76"/>
      <c r="G39" s="76"/>
      <c r="H39" s="76"/>
      <c r="I39" s="76"/>
      <c r="J39" s="76"/>
      <c r="K39" s="76"/>
      <c r="L39" s="74">
        <v>721</v>
      </c>
      <c r="M39" s="74"/>
      <c r="N39" s="77">
        <f>'1'!N39:O39</f>
        <v>0.1</v>
      </c>
      <c r="O39" s="77"/>
      <c r="P39" s="17">
        <f t="shared" si="2"/>
        <v>144.20000000000002</v>
      </c>
    </row>
    <row r="40" spans="2:16" x14ac:dyDescent="0.25">
      <c r="B40" s="4">
        <v>10</v>
      </c>
      <c r="C40" s="76" t="s">
        <v>21</v>
      </c>
      <c r="D40" s="76"/>
      <c r="E40" s="76"/>
      <c r="F40" s="76"/>
      <c r="G40" s="76"/>
      <c r="H40" s="76"/>
      <c r="I40" s="76"/>
      <c r="J40" s="76"/>
      <c r="K40" s="76"/>
      <c r="L40" s="74">
        <v>721</v>
      </c>
      <c r="M40" s="74"/>
      <c r="N40" s="77">
        <f>'1'!N40:O40</f>
        <v>0.2</v>
      </c>
      <c r="O40" s="77"/>
      <c r="P40" s="17">
        <f t="shared" si="2"/>
        <v>288.40000000000003</v>
      </c>
    </row>
    <row r="41" spans="2:16" x14ac:dyDescent="0.25">
      <c r="B41" s="4">
        <v>11</v>
      </c>
      <c r="C41" s="76" t="s">
        <v>22</v>
      </c>
      <c r="D41" s="76"/>
      <c r="E41" s="76"/>
      <c r="F41" s="76"/>
      <c r="G41" s="76"/>
      <c r="H41" s="76"/>
      <c r="I41" s="76"/>
      <c r="J41" s="76"/>
      <c r="K41" s="76"/>
      <c r="L41" s="74">
        <v>721</v>
      </c>
      <c r="M41" s="74"/>
      <c r="N41" s="77">
        <f>'1'!N41:O41</f>
        <v>0.5</v>
      </c>
      <c r="O41" s="77"/>
      <c r="P41" s="17">
        <f t="shared" si="2"/>
        <v>721</v>
      </c>
    </row>
    <row r="42" spans="2:16" hidden="1" x14ac:dyDescent="0.25">
      <c r="B42" s="4">
        <v>12</v>
      </c>
      <c r="C42" s="76" t="s">
        <v>23</v>
      </c>
      <c r="D42" s="76"/>
      <c r="E42" s="76"/>
      <c r="F42" s="76"/>
      <c r="G42" s="76"/>
      <c r="H42" s="76"/>
      <c r="I42" s="76"/>
      <c r="J42" s="76"/>
      <c r="K42" s="76"/>
      <c r="L42" s="74">
        <v>721</v>
      </c>
      <c r="M42" s="74"/>
      <c r="N42" s="77">
        <f>'1'!N42:O42</f>
        <v>0</v>
      </c>
      <c r="O42" s="77"/>
      <c r="P42" s="17">
        <f t="shared" si="2"/>
        <v>0</v>
      </c>
    </row>
    <row r="43" spans="2:16" x14ac:dyDescent="0.25">
      <c r="B43" s="4">
        <v>12</v>
      </c>
      <c r="C43" s="76" t="s">
        <v>25</v>
      </c>
      <c r="D43" s="76"/>
      <c r="E43" s="76"/>
      <c r="F43" s="76"/>
      <c r="G43" s="76"/>
      <c r="H43" s="76"/>
      <c r="I43" s="76"/>
      <c r="J43" s="76"/>
      <c r="K43" s="76"/>
      <c r="L43" s="74">
        <v>721</v>
      </c>
      <c r="M43" s="74"/>
      <c r="N43" s="77">
        <f>'1'!N43:O43</f>
        <v>0.5</v>
      </c>
      <c r="O43" s="77"/>
      <c r="P43" s="17">
        <f t="shared" si="2"/>
        <v>721</v>
      </c>
    </row>
    <row r="44" spans="2:16" x14ac:dyDescent="0.25">
      <c r="B44" s="38"/>
      <c r="C44" s="78" t="s">
        <v>26</v>
      </c>
      <c r="D44" s="78"/>
      <c r="E44" s="78"/>
      <c r="F44" s="78"/>
      <c r="G44" s="78"/>
      <c r="H44" s="78"/>
      <c r="I44" s="78"/>
      <c r="J44" s="78"/>
      <c r="K44" s="78"/>
      <c r="L44" s="79">
        <v>721</v>
      </c>
      <c r="M44" s="79"/>
      <c r="N44" s="91">
        <f>SUM(N31:O43)</f>
        <v>16.808246099999998</v>
      </c>
      <c r="O44" s="91"/>
      <c r="P44" s="39">
        <f>SUM(P31:P43)</f>
        <v>24237.490876200005</v>
      </c>
    </row>
    <row r="45" spans="2:16" hidden="1" x14ac:dyDescent="0.25">
      <c r="B45" s="90" t="s">
        <v>27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</row>
    <row r="46" spans="2:16" hidden="1" x14ac:dyDescent="0.25">
      <c r="B46" s="4">
        <v>1</v>
      </c>
      <c r="C46" s="82" t="s">
        <v>71</v>
      </c>
      <c r="D46" s="83"/>
      <c r="E46" s="83"/>
      <c r="F46" s="83"/>
      <c r="G46" s="83"/>
      <c r="H46" s="83"/>
      <c r="I46" s="83"/>
      <c r="J46" s="83"/>
      <c r="K46" s="84"/>
      <c r="L46" s="74">
        <v>721</v>
      </c>
      <c r="M46" s="74"/>
      <c r="N46" s="85">
        <f>P46/L46/6</f>
        <v>0</v>
      </c>
      <c r="O46" s="85"/>
      <c r="P46" s="17"/>
    </row>
    <row r="47" spans="2:16" hidden="1" x14ac:dyDescent="0.25">
      <c r="B47" s="4">
        <v>1</v>
      </c>
      <c r="C47" s="82" t="s">
        <v>73</v>
      </c>
      <c r="D47" s="83"/>
      <c r="E47" s="83"/>
      <c r="F47" s="83"/>
      <c r="G47" s="83"/>
      <c r="H47" s="83"/>
      <c r="I47" s="83"/>
      <c r="J47" s="83"/>
      <c r="K47" s="84"/>
      <c r="L47" s="74">
        <v>721</v>
      </c>
      <c r="M47" s="74"/>
      <c r="N47" s="74"/>
      <c r="O47" s="74"/>
      <c r="P47" s="4">
        <f>L47*N47*6</f>
        <v>0</v>
      </c>
    </row>
    <row r="48" spans="2:16" hidden="1" x14ac:dyDescent="0.25">
      <c r="B48" s="4">
        <v>2</v>
      </c>
      <c r="C48" s="82" t="s">
        <v>74</v>
      </c>
      <c r="D48" s="83"/>
      <c r="E48" s="83"/>
      <c r="F48" s="83"/>
      <c r="G48" s="83"/>
      <c r="H48" s="83"/>
      <c r="I48" s="83"/>
      <c r="J48" s="83"/>
      <c r="K48" s="84"/>
      <c r="L48" s="74">
        <v>721</v>
      </c>
      <c r="M48" s="74"/>
      <c r="N48" s="74"/>
      <c r="O48" s="74"/>
      <c r="P48" s="4">
        <f>L48*N48*6</f>
        <v>0</v>
      </c>
    </row>
    <row r="49" spans="2:16" hidden="1" x14ac:dyDescent="0.25">
      <c r="B49" s="4">
        <v>4</v>
      </c>
      <c r="C49" s="74"/>
      <c r="D49" s="74"/>
      <c r="E49" s="74"/>
      <c r="F49" s="74"/>
      <c r="G49" s="74"/>
      <c r="H49" s="74"/>
      <c r="I49" s="74"/>
      <c r="J49" s="74"/>
      <c r="K49" s="74"/>
      <c r="L49" s="74">
        <v>721</v>
      </c>
      <c r="M49" s="74"/>
      <c r="N49" s="74"/>
      <c r="O49" s="74"/>
      <c r="P49" s="4"/>
    </row>
    <row r="50" spans="2:16" hidden="1" x14ac:dyDescent="0.25">
      <c r="B50" s="38"/>
      <c r="C50" s="86" t="s">
        <v>29</v>
      </c>
      <c r="D50" s="87"/>
      <c r="E50" s="87"/>
      <c r="F50" s="87"/>
      <c r="G50" s="87"/>
      <c r="H50" s="87"/>
      <c r="I50" s="87"/>
      <c r="J50" s="87"/>
      <c r="K50" s="88"/>
      <c r="L50" s="79">
        <v>721</v>
      </c>
      <c r="M50" s="79"/>
      <c r="N50" s="91">
        <f>N46+N47+N48</f>
        <v>0</v>
      </c>
      <c r="O50" s="91"/>
      <c r="P50" s="38">
        <f>P46+P47+P48</f>
        <v>0</v>
      </c>
    </row>
    <row r="51" spans="2:16" hidden="1" x14ac:dyDescent="0.25">
      <c r="B51" s="90" t="s">
        <v>30</v>
      </c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</row>
    <row r="52" spans="2:16" hidden="1" x14ac:dyDescent="0.25">
      <c r="B52" s="38"/>
      <c r="C52" s="86" t="s">
        <v>31</v>
      </c>
      <c r="D52" s="87"/>
      <c r="E52" s="87"/>
      <c r="F52" s="87"/>
      <c r="G52" s="87"/>
      <c r="H52" s="87"/>
      <c r="I52" s="87"/>
      <c r="J52" s="87"/>
      <c r="K52" s="88"/>
      <c r="L52" s="79">
        <v>721</v>
      </c>
      <c r="M52" s="79"/>
      <c r="N52" s="79">
        <v>0</v>
      </c>
      <c r="O52" s="79"/>
      <c r="P52" s="38">
        <v>0</v>
      </c>
    </row>
    <row r="55" spans="2:16" x14ac:dyDescent="0.25">
      <c r="C55" s="1" t="s">
        <v>38</v>
      </c>
    </row>
    <row r="56" spans="2:16" x14ac:dyDescent="0.25">
      <c r="C56" s="1" t="s">
        <v>39</v>
      </c>
    </row>
    <row r="57" spans="2:16" x14ac:dyDescent="0.25">
      <c r="C57" s="4" t="s">
        <v>93</v>
      </c>
      <c r="D57" s="22">
        <f>N44</f>
        <v>16.808246099999998</v>
      </c>
    </row>
    <row r="60" spans="2:16" x14ac:dyDescent="0.25">
      <c r="C60" s="1" t="s">
        <v>40</v>
      </c>
      <c r="D60" s="2"/>
      <c r="E60" s="2"/>
      <c r="F60" s="2"/>
      <c r="G60" s="2"/>
      <c r="J60" s="1" t="s">
        <v>41</v>
      </c>
    </row>
    <row r="63" spans="2:16" ht="24.75" customHeight="1" x14ac:dyDescent="0.25">
      <c r="C63" s="1" t="s">
        <v>42</v>
      </c>
      <c r="D63" s="2"/>
      <c r="E63" s="2"/>
      <c r="F63" s="1" t="s">
        <v>43</v>
      </c>
    </row>
    <row r="64" spans="2:16" ht="25.5" customHeight="1" x14ac:dyDescent="0.25">
      <c r="D64" s="2"/>
      <c r="E64" s="2"/>
      <c r="F64" s="1" t="s">
        <v>43</v>
      </c>
    </row>
    <row r="65" spans="4:6" ht="24.75" customHeight="1" x14ac:dyDescent="0.25">
      <c r="D65" s="2"/>
      <c r="E65" s="2"/>
      <c r="F65" s="1" t="s">
        <v>43</v>
      </c>
    </row>
  </sheetData>
  <mergeCells count="115">
    <mergeCell ref="B51:P51"/>
    <mergeCell ref="C52:K52"/>
    <mergeCell ref="L52:M52"/>
    <mergeCell ref="N52:O52"/>
    <mergeCell ref="C49:K49"/>
    <mergeCell ref="L49:M49"/>
    <mergeCell ref="N49:O49"/>
    <mergeCell ref="C50:K50"/>
    <mergeCell ref="L50:M50"/>
    <mergeCell ref="N50:O50"/>
    <mergeCell ref="B45:P45"/>
    <mergeCell ref="C46:K46"/>
    <mergeCell ref="L46:M46"/>
    <mergeCell ref="N46:O46"/>
    <mergeCell ref="C47:K47"/>
    <mergeCell ref="L47:M47"/>
    <mergeCell ref="N47:O47"/>
    <mergeCell ref="C48:K48"/>
    <mergeCell ref="L48:M48"/>
    <mergeCell ref="N48:O48"/>
    <mergeCell ref="C42:K42"/>
    <mergeCell ref="L42:M42"/>
    <mergeCell ref="N42:O42"/>
    <mergeCell ref="C43:K43"/>
    <mergeCell ref="L43:M43"/>
    <mergeCell ref="N43:O43"/>
    <mergeCell ref="C44:K44"/>
    <mergeCell ref="L44:M44"/>
    <mergeCell ref="N44:O44"/>
    <mergeCell ref="C39:K39"/>
    <mergeCell ref="L39:M39"/>
    <mergeCell ref="N39:O39"/>
    <mergeCell ref="C40:K40"/>
    <mergeCell ref="L40:M40"/>
    <mergeCell ref="N40:O40"/>
    <mergeCell ref="C41:K41"/>
    <mergeCell ref="L41:M41"/>
    <mergeCell ref="N41:O41"/>
    <mergeCell ref="C36:K36"/>
    <mergeCell ref="L36:M36"/>
    <mergeCell ref="N36:O36"/>
    <mergeCell ref="C37:K37"/>
    <mergeCell ref="L37:M37"/>
    <mergeCell ref="N37:O37"/>
    <mergeCell ref="C38:K38"/>
    <mergeCell ref="L38:M38"/>
    <mergeCell ref="N38:O38"/>
    <mergeCell ref="C33:K33"/>
    <mergeCell ref="L33:M33"/>
    <mergeCell ref="N33:O33"/>
    <mergeCell ref="C34:K34"/>
    <mergeCell ref="L34:M34"/>
    <mergeCell ref="N34:O34"/>
    <mergeCell ref="C35:K35"/>
    <mergeCell ref="L35:M35"/>
    <mergeCell ref="N35:O35"/>
    <mergeCell ref="C29:K29"/>
    <mergeCell ref="L29:M29"/>
    <mergeCell ref="N29:O29"/>
    <mergeCell ref="B30:P30"/>
    <mergeCell ref="C31:K31"/>
    <mergeCell ref="L31:M31"/>
    <mergeCell ref="N31:O31"/>
    <mergeCell ref="C32:K32"/>
    <mergeCell ref="L32:M32"/>
    <mergeCell ref="N32:O32"/>
    <mergeCell ref="C28:K28"/>
    <mergeCell ref="L28:M28"/>
    <mergeCell ref="N28:O28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2:E22"/>
    <mergeCell ref="B2:V2"/>
    <mergeCell ref="B3:V3"/>
    <mergeCell ref="B4:V4"/>
    <mergeCell ref="P12:Q12"/>
    <mergeCell ref="P13:Q13"/>
    <mergeCell ref="P14:Q14"/>
    <mergeCell ref="P15:Q15"/>
    <mergeCell ref="P16:Q16"/>
    <mergeCell ref="T13:U13"/>
    <mergeCell ref="T12:U12"/>
    <mergeCell ref="T14:U14"/>
    <mergeCell ref="T15:U15"/>
    <mergeCell ref="T16:U16"/>
    <mergeCell ref="T18:U18"/>
    <mergeCell ref="T19:U19"/>
    <mergeCell ref="T20:U20"/>
    <mergeCell ref="T22:U22"/>
    <mergeCell ref="P18:Q18"/>
    <mergeCell ref="P19:Q19"/>
    <mergeCell ref="P20:Q20"/>
    <mergeCell ref="P22:Q22"/>
    <mergeCell ref="R12:S12"/>
    <mergeCell ref="R13:S13"/>
    <mergeCell ref="R14:S14"/>
    <mergeCell ref="R15:S15"/>
    <mergeCell ref="R16:S16"/>
    <mergeCell ref="R18:S18"/>
    <mergeCell ref="R19:S19"/>
    <mergeCell ref="R20:S20"/>
    <mergeCell ref="R22:S22"/>
    <mergeCell ref="P17:Q17"/>
    <mergeCell ref="R17:S17"/>
    <mergeCell ref="T17:U17"/>
    <mergeCell ref="P21:Q21"/>
    <mergeCell ref="R21:S21"/>
    <mergeCell ref="T21:U21"/>
  </mergeCells>
  <pageMargins left="0.25" right="0.25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2</vt:i4>
      </vt:variant>
    </vt:vector>
  </HeadingPairs>
  <TitlesOfParts>
    <vt:vector size="26" baseType="lpstr">
      <vt:lpstr>1</vt:lpstr>
      <vt:lpstr>2</vt:lpstr>
      <vt:lpstr>3</vt:lpstr>
      <vt:lpstr>4</vt:lpstr>
      <vt:lpstr>5</vt:lpstr>
      <vt:lpstr>6</vt:lpstr>
      <vt:lpstr>12</vt:lpstr>
      <vt:lpstr>13</vt:lpstr>
      <vt:lpstr>14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Все дома</vt:lpstr>
      <vt:lpstr>Лист1</vt:lpstr>
      <vt:lpstr>Лист3</vt:lpstr>
      <vt:lpstr>'14'!Область_печати</vt:lpstr>
      <vt:lpstr>'4'!Область_печати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*</cp:lastModifiedBy>
  <cp:lastPrinted>2017-02-08T02:09:30Z</cp:lastPrinted>
  <dcterms:created xsi:type="dcterms:W3CDTF">2013-10-28T08:46:54Z</dcterms:created>
  <dcterms:modified xsi:type="dcterms:W3CDTF">2017-02-13T06:44:27Z</dcterms:modified>
</cp:coreProperties>
</file>